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autoCompressPictures="0"/>
  <mc:AlternateContent xmlns:mc="http://schemas.openxmlformats.org/markup-compatibility/2006">
    <mc:Choice Requires="x15">
      <x15ac:absPath xmlns:x15ac="http://schemas.microsoft.com/office/spreadsheetml/2010/11/ac" url="C:\Users\jclinton\OneDrive - County of Barnstable\Stormwater\Town Cost Estimators\"/>
    </mc:Choice>
  </mc:AlternateContent>
  <xr:revisionPtr revIDLastSave="21" documentId="10_ncr:100000_{977EC86D-7511-42D1-B4A0-0935ACFB0CC6}" xr6:coauthVersionLast="41" xr6:coauthVersionMax="43" xr10:uidLastSave="{9A3507F5-C2C5-45CD-B7BC-DE8B7E859224}"/>
  <bookViews>
    <workbookView xWindow="22932" yWindow="-108" windowWidth="23256" windowHeight="12576" tabRatio="569" activeTab="1" xr2:uid="{00000000-000D-0000-FFFF-FFFF00000000}"/>
  </bookViews>
  <sheets>
    <sheet name="Chart1" sheetId="27" r:id="rId1"/>
    <sheet name="Cover Sheet" sheetId="25" r:id="rId2"/>
    <sheet name="Tasks by Year" sheetId="26" r:id="rId3"/>
    <sheet name="Overview of Total Costs" sheetId="24" r:id="rId4"/>
    <sheet name="Public Education" sheetId="21" r:id="rId5"/>
    <sheet name="Public Participation" sheetId="22" r:id="rId6"/>
    <sheet name="Good Housekeeping" sheetId="23" r:id="rId7"/>
    <sheet name="NOI" sheetId="9" r:id="rId8"/>
    <sheet name="SWMP" sheetId="10" r:id="rId9"/>
    <sheet name="IDDE" sheetId="18" r:id="rId10"/>
    <sheet name="Construction Site Control" sheetId="6" r:id="rId11"/>
    <sheet name="Post Construction Site Control" sheetId="7" r:id="rId12"/>
    <sheet name="Annual Report" sheetId="20" r:id="rId13"/>
    <sheet name="Miscellaneous" sheetId="8" r:id="rId14"/>
    <sheet name="MS4 Stats" sheetId="17" r:id="rId15"/>
    <sheet name="WQ Analysis Costs" sheetId="19" r:id="rId16"/>
    <sheet name="Cost Scaling Considerations" sheetId="16" r:id="rId17"/>
  </sheets>
  <definedNames>
    <definedName name="_xlnm.Print_Area" localSheetId="9">IDDE!$A$1:$Y$81</definedName>
    <definedName name="_xlnm.Print_Titles" localSheetId="9">IDDE!$26:$28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65" i="25" l="1"/>
  <c r="AR64" i="25"/>
  <c r="AR63" i="25"/>
  <c r="AR62" i="25"/>
  <c r="AR61" i="25"/>
  <c r="AE68" i="25"/>
  <c r="AE65" i="25"/>
  <c r="AE64" i="25"/>
  <c r="AE63" i="25"/>
  <c r="AE62" i="25"/>
  <c r="AE61" i="25"/>
  <c r="AE53" i="25"/>
  <c r="AE52" i="25"/>
  <c r="AE50" i="25"/>
  <c r="AE49" i="25"/>
  <c r="AE47" i="25"/>
  <c r="AE46" i="25"/>
  <c r="AE45" i="25"/>
  <c r="AE44" i="25"/>
  <c r="AJ65" i="25" l="1"/>
  <c r="AP65" i="25" l="1"/>
  <c r="W65" i="25"/>
  <c r="AC65" i="25"/>
  <c r="L65" i="25"/>
  <c r="AO37" i="25" l="1"/>
  <c r="AB37" i="25"/>
  <c r="AF54" i="25" l="1"/>
  <c r="AF52" i="25"/>
  <c r="AF53" i="25"/>
  <c r="O64" i="25" l="1"/>
  <c r="N64" i="25"/>
  <c r="Z10" i="25" l="1"/>
  <c r="AA10" i="25"/>
  <c r="AB10" i="25"/>
  <c r="AC10" i="25"/>
  <c r="AB12" i="25"/>
  <c r="AC12" i="25"/>
  <c r="L10" i="25"/>
  <c r="V5" i="25"/>
  <c r="P68" i="25"/>
  <c r="P64" i="25"/>
  <c r="P63" i="25"/>
  <c r="P62" i="25"/>
  <c r="P61" i="25"/>
  <c r="L68" i="25"/>
  <c r="L64" i="25"/>
  <c r="L63" i="25"/>
  <c r="L62" i="25"/>
  <c r="L61" i="25"/>
  <c r="AN6" i="25" l="1"/>
  <c r="AO6" i="25"/>
  <c r="AP6" i="25"/>
  <c r="AN10" i="25"/>
  <c r="AO10" i="25"/>
  <c r="AP10" i="25"/>
  <c r="AO12" i="25"/>
  <c r="AP12" i="25"/>
  <c r="AO13" i="25"/>
  <c r="AP13" i="25"/>
  <c r="AN18" i="25"/>
  <c r="AO18" i="25"/>
  <c r="AP18" i="25"/>
  <c r="AN19" i="25"/>
  <c r="AO19" i="25"/>
  <c r="AP19" i="25"/>
  <c r="AN21" i="25"/>
  <c r="AO21" i="25"/>
  <c r="AP21" i="25"/>
  <c r="AN22" i="25"/>
  <c r="AP22" i="25"/>
  <c r="AN23" i="25"/>
  <c r="AP23" i="25"/>
  <c r="AN25" i="25"/>
  <c r="AO25" i="25"/>
  <c r="AP25" i="25"/>
  <c r="AN26" i="25"/>
  <c r="AO26" i="25"/>
  <c r="AP26" i="25"/>
  <c r="AN27" i="25"/>
  <c r="AO27" i="25"/>
  <c r="AP27" i="25"/>
  <c r="AO5" i="25"/>
  <c r="AN5" i="25"/>
  <c r="AP5" i="25"/>
  <c r="AM19" i="25"/>
  <c r="AM6" i="25"/>
  <c r="AM10" i="25"/>
  <c r="AM14" i="25"/>
  <c r="AM18" i="25"/>
  <c r="AM22" i="25"/>
  <c r="AM23" i="25"/>
  <c r="AM5" i="25"/>
  <c r="AL14" i="25"/>
  <c r="AL15" i="25"/>
  <c r="AL21" i="25"/>
  <c r="AL22" i="25"/>
  <c r="AL23" i="25"/>
  <c r="AL25" i="25"/>
  <c r="AL26" i="25"/>
  <c r="AL27" i="25"/>
  <c r="AL28" i="25"/>
  <c r="W23" i="25"/>
  <c r="Y28" i="25"/>
  <c r="AC27" i="25"/>
  <c r="AB27" i="25"/>
  <c r="AA27" i="25"/>
  <c r="Y27" i="25"/>
  <c r="AC26" i="25"/>
  <c r="AB26" i="25"/>
  <c r="AA26" i="25"/>
  <c r="Y26" i="25"/>
  <c r="AC25" i="25"/>
  <c r="AB25" i="25"/>
  <c r="AA25" i="25"/>
  <c r="Y25" i="25"/>
  <c r="AC23" i="25"/>
  <c r="AA23" i="25"/>
  <c r="Z23" i="25"/>
  <c r="Y23" i="25"/>
  <c r="AC22" i="25"/>
  <c r="AA22" i="25"/>
  <c r="Z22" i="25"/>
  <c r="Y22" i="25"/>
  <c r="AC21" i="25"/>
  <c r="AB21" i="25"/>
  <c r="AA21" i="25"/>
  <c r="Y21" i="25"/>
  <c r="AC19" i="25"/>
  <c r="AB19" i="25"/>
  <c r="AA19" i="25"/>
  <c r="Z19" i="25"/>
  <c r="AC18" i="25"/>
  <c r="AB18" i="25"/>
  <c r="AA18" i="25"/>
  <c r="Z18" i="25"/>
  <c r="Y15" i="25"/>
  <c r="Z14" i="25"/>
  <c r="Y14" i="25"/>
  <c r="AC13" i="25"/>
  <c r="AB13" i="25"/>
  <c r="AC6" i="25"/>
  <c r="AC5" i="25"/>
  <c r="AB6" i="25"/>
  <c r="AB5" i="25"/>
  <c r="AA6" i="25"/>
  <c r="AA5" i="25"/>
  <c r="Z5" i="25"/>
  <c r="Z6" i="25"/>
  <c r="W5" i="25"/>
  <c r="U5" i="25"/>
  <c r="T5" i="25"/>
  <c r="P54" i="25"/>
  <c r="P53" i="25"/>
  <c r="P52" i="25"/>
  <c r="P50" i="25"/>
  <c r="P49" i="25"/>
  <c r="P47" i="25"/>
  <c r="P46" i="25"/>
  <c r="P45" i="25"/>
  <c r="P44" i="25"/>
  <c r="L44" i="25"/>
  <c r="P32" i="25"/>
  <c r="P31" i="25"/>
  <c r="P30" i="25"/>
  <c r="P29" i="25"/>
  <c r="P28" i="25"/>
  <c r="P27" i="25"/>
  <c r="P26" i="25"/>
  <c r="P25" i="25"/>
  <c r="P23" i="25"/>
  <c r="P22" i="25"/>
  <c r="P21" i="25"/>
  <c r="P19" i="25"/>
  <c r="P18" i="25"/>
  <c r="P16" i="25"/>
  <c r="P15" i="25"/>
  <c r="P14" i="25"/>
  <c r="P13" i="25"/>
  <c r="P12" i="25"/>
  <c r="P11" i="25"/>
  <c r="P10" i="25"/>
  <c r="P8" i="25"/>
  <c r="P7" i="25"/>
  <c r="P6" i="25"/>
  <c r="AJ18" i="25" l="1"/>
  <c r="AI27" i="25"/>
  <c r="AH10" i="25"/>
  <c r="AI10" i="25"/>
  <c r="AJ10" i="25"/>
  <c r="AI12" i="25"/>
  <c r="AJ12" i="25"/>
  <c r="AI13" i="25"/>
  <c r="AJ13" i="25"/>
  <c r="AH18" i="25"/>
  <c r="AI18" i="25"/>
  <c r="AH19" i="25"/>
  <c r="AI19" i="25"/>
  <c r="AJ19" i="25"/>
  <c r="AH21" i="25"/>
  <c r="AI21" i="25"/>
  <c r="AJ21" i="25"/>
  <c r="AH22" i="25"/>
  <c r="AJ22" i="25"/>
  <c r="AH23" i="25"/>
  <c r="AJ23" i="25"/>
  <c r="AH25" i="25"/>
  <c r="AI25" i="25"/>
  <c r="AJ25" i="25"/>
  <c r="AH26" i="25"/>
  <c r="AI26" i="25"/>
  <c r="AJ26" i="25"/>
  <c r="AH27" i="25"/>
  <c r="AJ27" i="25"/>
  <c r="AG10" i="25"/>
  <c r="AG14" i="25"/>
  <c r="AG18" i="25"/>
  <c r="AG19" i="25"/>
  <c r="AG22" i="25"/>
  <c r="AG23" i="25"/>
  <c r="AH6" i="25"/>
  <c r="AI6" i="25"/>
  <c r="AJ6" i="25"/>
  <c r="AG6" i="25"/>
  <c r="AG5" i="25"/>
  <c r="AH5" i="25"/>
  <c r="AI5" i="25"/>
  <c r="AJ5" i="25"/>
  <c r="AF14" i="25"/>
  <c r="AF15" i="25"/>
  <c r="AF21" i="25"/>
  <c r="AF22" i="25"/>
  <c r="AF23" i="25"/>
  <c r="AF25" i="25"/>
  <c r="AF26" i="25"/>
  <c r="AF27" i="25"/>
  <c r="AF28" i="25"/>
  <c r="V27" i="25"/>
  <c r="T10" i="25"/>
  <c r="U10" i="25"/>
  <c r="V10" i="25"/>
  <c r="W10" i="25"/>
  <c r="V12" i="25"/>
  <c r="W12" i="25"/>
  <c r="V13" i="25"/>
  <c r="W13" i="25"/>
  <c r="T14" i="25"/>
  <c r="T18" i="25"/>
  <c r="U18" i="25"/>
  <c r="V18" i="25"/>
  <c r="W18" i="25"/>
  <c r="T19" i="25"/>
  <c r="U19" i="25"/>
  <c r="V19" i="25"/>
  <c r="W19" i="25"/>
  <c r="U21" i="25"/>
  <c r="V21" i="25"/>
  <c r="W21" i="25"/>
  <c r="T22" i="25"/>
  <c r="U22" i="25"/>
  <c r="W22" i="25"/>
  <c r="T23" i="25"/>
  <c r="U23" i="25"/>
  <c r="U25" i="25"/>
  <c r="V25" i="25"/>
  <c r="W25" i="25"/>
  <c r="U26" i="25"/>
  <c r="V26" i="25"/>
  <c r="W26" i="25"/>
  <c r="U27" i="25"/>
  <c r="W27" i="25"/>
  <c r="T6" i="25"/>
  <c r="U6" i="25"/>
  <c r="V6" i="25"/>
  <c r="W6" i="25"/>
  <c r="S14" i="25"/>
  <c r="S15" i="25"/>
  <c r="S21" i="25"/>
  <c r="S22" i="25"/>
  <c r="S23" i="25"/>
  <c r="S25" i="25"/>
  <c r="S26" i="25"/>
  <c r="S27" i="25"/>
  <c r="S28" i="25"/>
  <c r="L50" i="25"/>
  <c r="L52" i="25"/>
  <c r="L53" i="25"/>
  <c r="L54" i="25"/>
  <c r="L49" i="25"/>
  <c r="L45" i="25"/>
  <c r="L46" i="25"/>
  <c r="L47" i="25"/>
  <c r="L11" i="25"/>
  <c r="L12" i="25"/>
  <c r="L13" i="25"/>
  <c r="L14" i="25"/>
  <c r="L15" i="25"/>
  <c r="L16" i="25"/>
  <c r="L6" i="25"/>
  <c r="L7" i="25"/>
  <c r="L8" i="25"/>
  <c r="L18" i="25"/>
  <c r="L19" i="25"/>
  <c r="L21" i="25"/>
  <c r="L22" i="25"/>
  <c r="L23" i="25"/>
  <c r="L25" i="25"/>
  <c r="L26" i="25"/>
  <c r="L27" i="25"/>
  <c r="L28" i="25"/>
  <c r="L29" i="25"/>
  <c r="L30" i="25"/>
  <c r="L31" i="25"/>
  <c r="L32" i="25"/>
  <c r="L5" i="25"/>
  <c r="C64" i="25" l="1"/>
  <c r="C63" i="25"/>
  <c r="C62" i="25"/>
  <c r="O10" i="25" l="1"/>
  <c r="N10" i="25"/>
  <c r="T40" i="20" l="1"/>
  <c r="S40" i="20"/>
  <c r="T41" i="20"/>
  <c r="S41" i="20"/>
  <c r="T42" i="20"/>
  <c r="S42" i="20"/>
  <c r="T43" i="20"/>
  <c r="S43" i="20"/>
  <c r="E4" i="6"/>
  <c r="N27" i="6" s="1"/>
  <c r="U27" i="6" s="1"/>
  <c r="D4" i="6"/>
  <c r="M28" i="6" s="1"/>
  <c r="C8" i="18"/>
  <c r="C7" i="18" s="1"/>
  <c r="D11" i="23"/>
  <c r="L66" i="23" s="1"/>
  <c r="C2" i="20"/>
  <c r="Q43" i="20" s="1"/>
  <c r="C3" i="7"/>
  <c r="I30" i="7" s="1"/>
  <c r="C2" i="7"/>
  <c r="S18" i="7" s="1"/>
  <c r="C3" i="6"/>
  <c r="S25" i="6" s="1"/>
  <c r="AR18" i="25" s="1"/>
  <c r="C12" i="18"/>
  <c r="U58" i="18" s="1"/>
  <c r="C11" i="18"/>
  <c r="P75" i="18" s="1"/>
  <c r="C3" i="18"/>
  <c r="L38" i="18" s="1"/>
  <c r="O11" i="25" s="1"/>
  <c r="C2" i="18"/>
  <c r="C3" i="10"/>
  <c r="C2" i="9"/>
  <c r="S20" i="9" s="1"/>
  <c r="C12" i="23"/>
  <c r="R44" i="23" s="1"/>
  <c r="C9" i="23"/>
  <c r="I38" i="23" s="1"/>
  <c r="D18" i="23" s="1"/>
  <c r="C8" i="23"/>
  <c r="N45" i="23" s="1"/>
  <c r="C2" i="22"/>
  <c r="R17" i="22" s="1"/>
  <c r="C2" i="21"/>
  <c r="T23" i="21" s="1"/>
  <c r="C4" i="21"/>
  <c r="P21" i="21" s="1"/>
  <c r="C3" i="21"/>
  <c r="B33" i="25"/>
  <c r="C7" i="23" s="1"/>
  <c r="B16" i="25"/>
  <c r="C10" i="18" s="1"/>
  <c r="L54" i="18" s="1"/>
  <c r="B15" i="25"/>
  <c r="C9" i="18" s="1"/>
  <c r="C10" i="23"/>
  <c r="N62" i="23" s="1"/>
  <c r="U62" i="23" s="1"/>
  <c r="C11" i="23"/>
  <c r="O67" i="23" s="1"/>
  <c r="C8" i="17"/>
  <c r="C12" i="17" s="1"/>
  <c r="B30" i="25"/>
  <c r="C6" i="23" s="1"/>
  <c r="P43" i="23" s="1"/>
  <c r="C25" i="17"/>
  <c r="B13" i="25"/>
  <c r="C5" i="18" s="1"/>
  <c r="C13" i="25"/>
  <c r="C6" i="18" s="1"/>
  <c r="L61" i="18" s="1"/>
  <c r="T17" i="20"/>
  <c r="T18" i="20"/>
  <c r="T20" i="20"/>
  <c r="T21" i="20"/>
  <c r="T23" i="20"/>
  <c r="T24" i="20"/>
  <c r="T25" i="20"/>
  <c r="T26" i="20"/>
  <c r="T27" i="20"/>
  <c r="T28" i="20"/>
  <c r="T29" i="20"/>
  <c r="T30" i="20"/>
  <c r="T31" i="20"/>
  <c r="T33" i="20"/>
  <c r="T35" i="20"/>
  <c r="T36" i="20"/>
  <c r="T37" i="20"/>
  <c r="T38" i="20"/>
  <c r="S17" i="20"/>
  <c r="S18" i="20"/>
  <c r="S20" i="20"/>
  <c r="S21" i="20"/>
  <c r="S23" i="20"/>
  <c r="S24" i="20"/>
  <c r="S25" i="20"/>
  <c r="S26" i="20"/>
  <c r="S27" i="20"/>
  <c r="S28" i="20"/>
  <c r="S29" i="20"/>
  <c r="S30" i="20"/>
  <c r="S31" i="20"/>
  <c r="S33" i="20"/>
  <c r="S35" i="20"/>
  <c r="S36" i="20"/>
  <c r="S37" i="20"/>
  <c r="S38" i="20"/>
  <c r="U18" i="7"/>
  <c r="O21" i="25" s="1"/>
  <c r="U19" i="7"/>
  <c r="U22" i="7"/>
  <c r="O22" i="25" s="1"/>
  <c r="U25" i="7"/>
  <c r="T18" i="7"/>
  <c r="N21" i="25" s="1"/>
  <c r="T19" i="7"/>
  <c r="T22" i="7"/>
  <c r="N22" i="25" s="1"/>
  <c r="T25" i="7"/>
  <c r="U23" i="6"/>
  <c r="E9" i="6" s="1"/>
  <c r="U24" i="6"/>
  <c r="U25" i="6"/>
  <c r="U26" i="6"/>
  <c r="O19" i="25" s="1"/>
  <c r="T23" i="6"/>
  <c r="D9" i="6" s="1"/>
  <c r="T24" i="6"/>
  <c r="T25" i="6"/>
  <c r="N18" i="25" s="1"/>
  <c r="T26" i="6"/>
  <c r="N19" i="25" s="1"/>
  <c r="W32" i="18"/>
  <c r="W42" i="18"/>
  <c r="W71" i="18"/>
  <c r="W77" i="18"/>
  <c r="V30" i="18"/>
  <c r="V34" i="18"/>
  <c r="V36" i="18"/>
  <c r="V38" i="18"/>
  <c r="V40" i="18"/>
  <c r="V45" i="18"/>
  <c r="V47" i="18"/>
  <c r="V51" i="18"/>
  <c r="V55" i="18"/>
  <c r="V58" i="18"/>
  <c r="V59" i="18"/>
  <c r="V62" i="18"/>
  <c r="V63" i="18"/>
  <c r="V64" i="18"/>
  <c r="V65" i="18"/>
  <c r="V66" i="18"/>
  <c r="V69" i="18"/>
  <c r="V72" i="18"/>
  <c r="E19" i="18"/>
  <c r="D19" i="18"/>
  <c r="T17" i="10"/>
  <c r="D8" i="10" s="1"/>
  <c r="U17" i="10"/>
  <c r="E8" i="10"/>
  <c r="U18" i="9"/>
  <c r="U19" i="9"/>
  <c r="U20" i="9"/>
  <c r="U21" i="9"/>
  <c r="U22" i="9"/>
  <c r="U24" i="9"/>
  <c r="U25" i="9"/>
  <c r="U28" i="9"/>
  <c r="T18" i="9"/>
  <c r="T19" i="9"/>
  <c r="T20" i="9"/>
  <c r="T21" i="9"/>
  <c r="T22" i="9"/>
  <c r="T24" i="9"/>
  <c r="D7" i="9" s="1"/>
  <c r="T25" i="9"/>
  <c r="T28" i="9"/>
  <c r="U37" i="23"/>
  <c r="U42" i="23"/>
  <c r="U44" i="23"/>
  <c r="U47" i="23"/>
  <c r="U51" i="23"/>
  <c r="U53" i="23"/>
  <c r="U58" i="23"/>
  <c r="U61" i="23"/>
  <c r="U66" i="23"/>
  <c r="O27" i="25" s="1"/>
  <c r="T37" i="23"/>
  <c r="T42" i="23"/>
  <c r="T44" i="23"/>
  <c r="T47" i="23"/>
  <c r="T51" i="23"/>
  <c r="T53" i="23"/>
  <c r="T58" i="23"/>
  <c r="T61" i="23"/>
  <c r="T66" i="23"/>
  <c r="N27" i="25" s="1"/>
  <c r="U20" i="7"/>
  <c r="U23" i="7"/>
  <c r="U26" i="7"/>
  <c r="U28" i="7"/>
  <c r="U31" i="7"/>
  <c r="T20" i="7"/>
  <c r="T23" i="7"/>
  <c r="D7" i="7"/>
  <c r="T26" i="7"/>
  <c r="T28" i="7"/>
  <c r="T31" i="7"/>
  <c r="U29" i="6"/>
  <c r="E8" i="6" s="1"/>
  <c r="T29" i="6"/>
  <c r="D8" i="6" s="1"/>
  <c r="U18" i="10"/>
  <c r="T18" i="10"/>
  <c r="D7" i="10" s="1"/>
  <c r="T19" i="10"/>
  <c r="N6" i="25" s="1"/>
  <c r="U26" i="9"/>
  <c r="T26" i="9"/>
  <c r="E6" i="22"/>
  <c r="D6" i="22"/>
  <c r="T15" i="22"/>
  <c r="T16" i="22"/>
  <c r="T17" i="22"/>
  <c r="T20" i="22" s="1"/>
  <c r="S15" i="22"/>
  <c r="S20" i="22" s="1"/>
  <c r="N8" i="25" s="1"/>
  <c r="S16" i="22"/>
  <c r="S17" i="22"/>
  <c r="V20" i="21"/>
  <c r="V30" i="21"/>
  <c r="O7" i="25" s="1"/>
  <c r="V25" i="21"/>
  <c r="V26" i="21"/>
  <c r="U20" i="21"/>
  <c r="U25" i="21"/>
  <c r="U30" i="21" s="1"/>
  <c r="N7" i="25" s="1"/>
  <c r="U26" i="21"/>
  <c r="E9" i="21"/>
  <c r="D9" i="21"/>
  <c r="E8" i="21"/>
  <c r="D8" i="21"/>
  <c r="C24" i="17"/>
  <c r="T39" i="23"/>
  <c r="T43" i="23"/>
  <c r="N29" i="25" s="1"/>
  <c r="T45" i="23"/>
  <c r="N52" i="25" s="1"/>
  <c r="T46" i="23"/>
  <c r="N53" i="25"/>
  <c r="T48" i="23"/>
  <c r="T49" i="23"/>
  <c r="T52" i="23"/>
  <c r="N30" i="25" s="1"/>
  <c r="T54" i="23"/>
  <c r="T55" i="23"/>
  <c r="T56" i="23"/>
  <c r="T59" i="23"/>
  <c r="T63" i="23"/>
  <c r="T64" i="23"/>
  <c r="T67" i="23"/>
  <c r="T68" i="23"/>
  <c r="N31" i="25" s="1"/>
  <c r="T70" i="23"/>
  <c r="N54" i="25" s="1"/>
  <c r="T71" i="23"/>
  <c r="T72" i="23"/>
  <c r="U39" i="23"/>
  <c r="U43" i="23"/>
  <c r="O29" i="25" s="1"/>
  <c r="U46" i="23"/>
  <c r="O53" i="25" s="1"/>
  <c r="U48" i="23"/>
  <c r="U49" i="23"/>
  <c r="U52" i="23"/>
  <c r="U54" i="23"/>
  <c r="U55" i="23"/>
  <c r="U56" i="23"/>
  <c r="U59" i="23"/>
  <c r="U63" i="23"/>
  <c r="U64" i="23"/>
  <c r="U67" i="23"/>
  <c r="U68" i="23"/>
  <c r="O31" i="25" s="1"/>
  <c r="U70" i="23"/>
  <c r="O54" i="25" s="1"/>
  <c r="U71" i="23"/>
  <c r="U72" i="23"/>
  <c r="C14" i="18"/>
  <c r="D2" i="19"/>
  <c r="D3" i="19"/>
  <c r="D4" i="19"/>
  <c r="D6" i="19"/>
  <c r="N61" i="18"/>
  <c r="V31" i="18"/>
  <c r="V32" i="18"/>
  <c r="V35" i="18"/>
  <c r="V41" i="18"/>
  <c r="V42" i="18"/>
  <c r="N44" i="25"/>
  <c r="V43" i="18"/>
  <c r="V49" i="18"/>
  <c r="V53" i="18"/>
  <c r="N45" i="25"/>
  <c r="V56" i="18"/>
  <c r="V60" i="18"/>
  <c r="V67" i="18"/>
  <c r="V70" i="18"/>
  <c r="N46" i="25" s="1"/>
  <c r="V71" i="18"/>
  <c r="V74" i="18"/>
  <c r="V75" i="18"/>
  <c r="N47" i="25" s="1"/>
  <c r="V77" i="18"/>
  <c r="V79" i="18"/>
  <c r="N16" i="25" s="1"/>
  <c r="V80" i="18"/>
  <c r="W30" i="18"/>
  <c r="W31" i="18"/>
  <c r="W34" i="18"/>
  <c r="W35" i="18"/>
  <c r="W36" i="18"/>
  <c r="W39" i="18"/>
  <c r="W40" i="18"/>
  <c r="W41" i="18"/>
  <c r="W43" i="18"/>
  <c r="W45" i="18"/>
  <c r="W47" i="18"/>
  <c r="W49" i="18"/>
  <c r="W51" i="18"/>
  <c r="W55" i="18"/>
  <c r="W56" i="18"/>
  <c r="W58" i="18"/>
  <c r="W59" i="18"/>
  <c r="W60" i="18"/>
  <c r="W62" i="18"/>
  <c r="W63" i="18"/>
  <c r="W64" i="18"/>
  <c r="W65" i="18"/>
  <c r="W66" i="18"/>
  <c r="W67" i="18"/>
  <c r="W69" i="18"/>
  <c r="W72" i="18"/>
  <c r="W74" i="18"/>
  <c r="W79" i="18"/>
  <c r="O16" i="25" s="1"/>
  <c r="W80" i="18"/>
  <c r="M61" i="18"/>
  <c r="C2" i="8"/>
  <c r="R15" i="8" s="1"/>
  <c r="S15" i="8"/>
  <c r="S16" i="8"/>
  <c r="S17" i="8"/>
  <c r="D28" i="23"/>
  <c r="D19" i="23"/>
  <c r="B6" i="9"/>
  <c r="E6" i="9"/>
  <c r="D6" i="9"/>
  <c r="E7" i="22"/>
  <c r="D7" i="22"/>
  <c r="C10" i="21"/>
  <c r="V21" i="21"/>
  <c r="U21" i="21"/>
  <c r="V24" i="21"/>
  <c r="U24" i="21"/>
  <c r="V23" i="21"/>
  <c r="U23" i="21"/>
  <c r="V22" i="21"/>
  <c r="U22" i="21"/>
  <c r="D24" i="17"/>
  <c r="B24" i="17"/>
  <c r="A39" i="18"/>
  <c r="A40" i="18" s="1"/>
  <c r="A41" i="18" s="1"/>
  <c r="A42" i="18" s="1"/>
  <c r="A43" i="18" s="1"/>
  <c r="A34" i="18"/>
  <c r="A35" i="18" s="1"/>
  <c r="A36" i="18" s="1"/>
  <c r="A31" i="18"/>
  <c r="A32" i="18" s="1"/>
  <c r="A16" i="22"/>
  <c r="A17" i="22" s="1"/>
  <c r="A20" i="21"/>
  <c r="B19" i="17"/>
  <c r="B9" i="17"/>
  <c r="B11" i="17" s="1"/>
  <c r="B12" i="17"/>
  <c r="D9" i="17"/>
  <c r="D11" i="17" s="1"/>
  <c r="D12" i="17"/>
  <c r="D19" i="17"/>
  <c r="U19" i="10"/>
  <c r="O6" i="25" s="1"/>
  <c r="E7" i="10"/>
  <c r="O44" i="25"/>
  <c r="E8" i="9"/>
  <c r="R16" i="8"/>
  <c r="O30" i="25" l="1"/>
  <c r="D7" i="8"/>
  <c r="Q15" i="8"/>
  <c r="E10" i="10"/>
  <c r="F9" i="24" s="1"/>
  <c r="N9" i="24" s="1"/>
  <c r="R17" i="8"/>
  <c r="C6" i="8" s="1"/>
  <c r="Q16" i="8"/>
  <c r="T16" i="8" s="1"/>
  <c r="N17" i="25"/>
  <c r="N61" i="25"/>
  <c r="N68" i="25"/>
  <c r="N67" i="25" s="1"/>
  <c r="O61" i="25"/>
  <c r="O68" i="25"/>
  <c r="O67" i="25" s="1"/>
  <c r="O8" i="25"/>
  <c r="E9" i="22"/>
  <c r="F5" i="24" s="1"/>
  <c r="N5" i="24" s="1"/>
  <c r="N51" i="25"/>
  <c r="N43" i="25"/>
  <c r="Q17" i="8"/>
  <c r="E11" i="21"/>
  <c r="F4" i="24" s="1"/>
  <c r="N4" i="24" s="1"/>
  <c r="D8" i="19"/>
  <c r="C13" i="18" s="1"/>
  <c r="M54" i="18" s="1"/>
  <c r="T31" i="9"/>
  <c r="N5" i="25" s="1"/>
  <c r="E7" i="9"/>
  <c r="N12" i="25"/>
  <c r="N65" i="25" s="1"/>
  <c r="O18" i="25"/>
  <c r="O17" i="25" s="1"/>
  <c r="O26" i="25"/>
  <c r="D16" i="17"/>
  <c r="S18" i="8"/>
  <c r="D9" i="8" s="1"/>
  <c r="O12" i="25"/>
  <c r="O65" i="25" s="1"/>
  <c r="E7" i="7"/>
  <c r="S44" i="20"/>
  <c r="N32" i="25" s="1"/>
  <c r="T44" i="20"/>
  <c r="O32" i="25" s="1"/>
  <c r="Q30" i="20"/>
  <c r="C19" i="18"/>
  <c r="U47" i="18"/>
  <c r="R28" i="20"/>
  <c r="U55" i="18"/>
  <c r="Q21" i="21"/>
  <c r="T21" i="21" s="1"/>
  <c r="T77" i="18"/>
  <c r="T67" i="18"/>
  <c r="U80" i="18"/>
  <c r="U64" i="18"/>
  <c r="R38" i="20"/>
  <c r="Q41" i="20"/>
  <c r="U51" i="18"/>
  <c r="R26" i="7"/>
  <c r="Q15" i="22"/>
  <c r="S18" i="9"/>
  <c r="R21" i="9"/>
  <c r="R25" i="7"/>
  <c r="P53" i="18"/>
  <c r="W53" i="18" s="1"/>
  <c r="O45" i="25" s="1"/>
  <c r="R22" i="7"/>
  <c r="AE22" i="25" s="1"/>
  <c r="S24" i="9"/>
  <c r="R23" i="7"/>
  <c r="R20" i="7"/>
  <c r="R31" i="7"/>
  <c r="S26" i="7"/>
  <c r="R19" i="9"/>
  <c r="S31" i="7"/>
  <c r="R18" i="7"/>
  <c r="S19" i="7"/>
  <c r="AR21" i="25" s="1"/>
  <c r="R15" i="22"/>
  <c r="T24" i="21"/>
  <c r="T25" i="21" s="1"/>
  <c r="S25" i="7"/>
  <c r="R25" i="9"/>
  <c r="R28" i="7"/>
  <c r="S22" i="7"/>
  <c r="AR22" i="25" s="1"/>
  <c r="S42" i="23"/>
  <c r="Q20" i="20"/>
  <c r="Q31" i="20"/>
  <c r="R40" i="20"/>
  <c r="R35" i="20"/>
  <c r="N28" i="6"/>
  <c r="U28" i="6" s="1"/>
  <c r="O50" i="25" s="1"/>
  <c r="Q21" i="20"/>
  <c r="B19" i="18"/>
  <c r="U32" i="18"/>
  <c r="U36" i="18"/>
  <c r="U74" i="18"/>
  <c r="U62" i="18"/>
  <c r="T38" i="18"/>
  <c r="T42" i="18"/>
  <c r="B8" i="21"/>
  <c r="R43" i="20"/>
  <c r="R41" i="20"/>
  <c r="S22" i="21"/>
  <c r="S25" i="21" s="1"/>
  <c r="T58" i="18"/>
  <c r="T64" i="18"/>
  <c r="T75" i="18"/>
  <c r="X47" i="25" s="1"/>
  <c r="R33" i="20"/>
  <c r="T56" i="18"/>
  <c r="U49" i="18"/>
  <c r="AR12" i="25" s="1"/>
  <c r="T62" i="18"/>
  <c r="T79" i="18"/>
  <c r="AE16" i="25" s="1"/>
  <c r="T66" i="18"/>
  <c r="T71" i="18"/>
  <c r="R37" i="20"/>
  <c r="R20" i="20"/>
  <c r="Q35" i="20"/>
  <c r="Q17" i="20"/>
  <c r="T20" i="21"/>
  <c r="S28" i="7"/>
  <c r="R19" i="7"/>
  <c r="S20" i="7"/>
  <c r="T51" i="18"/>
  <c r="T74" i="18"/>
  <c r="P70" i="18"/>
  <c r="W70" i="18" s="1"/>
  <c r="O46" i="25" s="1"/>
  <c r="T35" i="18"/>
  <c r="T53" i="18"/>
  <c r="X45" i="25" s="1"/>
  <c r="T45" i="18"/>
  <c r="T70" i="18"/>
  <c r="X46" i="25" s="1"/>
  <c r="U42" i="18"/>
  <c r="U31" i="18"/>
  <c r="T59" i="18"/>
  <c r="U40" i="18"/>
  <c r="Q23" i="20"/>
  <c r="S23" i="7"/>
  <c r="S23" i="21"/>
  <c r="J38" i="23"/>
  <c r="U38" i="23" s="1"/>
  <c r="O25" i="25" s="1"/>
  <c r="O63" i="25" s="1"/>
  <c r="U30" i="18"/>
  <c r="R31" i="20"/>
  <c r="R55" i="23"/>
  <c r="S72" i="23"/>
  <c r="C19" i="17"/>
  <c r="Q17" i="22"/>
  <c r="R17" i="20"/>
  <c r="Q28" i="20"/>
  <c r="R36" i="20"/>
  <c r="R24" i="20"/>
  <c r="Q36" i="20"/>
  <c r="Q38" i="20"/>
  <c r="Q29" i="20"/>
  <c r="Q42" i="20"/>
  <c r="Q24" i="20"/>
  <c r="R59" i="23"/>
  <c r="S71" i="23"/>
  <c r="S53" i="23"/>
  <c r="R30" i="20"/>
  <c r="Q16" i="22"/>
  <c r="C22" i="17"/>
  <c r="R16" i="22"/>
  <c r="Q27" i="20"/>
  <c r="R23" i="20"/>
  <c r="R29" i="20"/>
  <c r="R21" i="20"/>
  <c r="Q37" i="20"/>
  <c r="Q25" i="20"/>
  <c r="S26" i="21"/>
  <c r="B9" i="21"/>
  <c r="R64" i="23"/>
  <c r="B19" i="23"/>
  <c r="S51" i="23"/>
  <c r="M62" i="23"/>
  <c r="R62" i="23" s="1"/>
  <c r="S21" i="21"/>
  <c r="T26" i="21"/>
  <c r="S24" i="21"/>
  <c r="U43" i="18"/>
  <c r="T80" i="18"/>
  <c r="U66" i="18"/>
  <c r="U59" i="18"/>
  <c r="U72" i="18"/>
  <c r="T41" i="18"/>
  <c r="U69" i="18"/>
  <c r="AR10" i="25" s="1"/>
  <c r="T40" i="18"/>
  <c r="T34" i="18"/>
  <c r="T36" i="18"/>
  <c r="T49" i="18"/>
  <c r="T63" i="18"/>
  <c r="T43" i="18"/>
  <c r="U63" i="18"/>
  <c r="T69" i="18"/>
  <c r="AE10" i="25" s="1"/>
  <c r="T22" i="21"/>
  <c r="T30" i="18"/>
  <c r="U79" i="18"/>
  <c r="AR16" i="25" s="1"/>
  <c r="U39" i="18"/>
  <c r="Q26" i="20"/>
  <c r="R18" i="20"/>
  <c r="C9" i="21"/>
  <c r="S20" i="21"/>
  <c r="R42" i="20"/>
  <c r="Q33" i="20"/>
  <c r="C8" i="21"/>
  <c r="R27" i="20"/>
  <c r="Q18" i="20"/>
  <c r="R25" i="20"/>
  <c r="U71" i="18"/>
  <c r="U56" i="18"/>
  <c r="T32" i="18"/>
  <c r="U67" i="18"/>
  <c r="Q40" i="20"/>
  <c r="T31" i="18"/>
  <c r="U35" i="18"/>
  <c r="R26" i="20"/>
  <c r="T60" i="18"/>
  <c r="U34" i="18"/>
  <c r="U45" i="18"/>
  <c r="T55" i="18"/>
  <c r="U77" i="18"/>
  <c r="U60" i="18"/>
  <c r="U41" i="18"/>
  <c r="R39" i="23"/>
  <c r="R54" i="23"/>
  <c r="T72" i="18"/>
  <c r="S46" i="23"/>
  <c r="AR53" i="25" s="1"/>
  <c r="T47" i="18"/>
  <c r="R72" i="23"/>
  <c r="S63" i="23"/>
  <c r="R67" i="23"/>
  <c r="U61" i="18"/>
  <c r="W61" i="18"/>
  <c r="O15" i="25" s="1"/>
  <c r="O43" i="23"/>
  <c r="R43" i="23" s="1"/>
  <c r="AE29" i="25" s="1"/>
  <c r="O52" i="23"/>
  <c r="R52" i="23" s="1"/>
  <c r="AE30" i="25" s="1"/>
  <c r="P52" i="23"/>
  <c r="S52" i="23" s="1"/>
  <c r="AR30" i="25" s="1"/>
  <c r="K54" i="18"/>
  <c r="V54" i="18" s="1"/>
  <c r="N14" i="25" s="1"/>
  <c r="D11" i="21"/>
  <c r="E4" i="24" s="1"/>
  <c r="M4" i="24" s="1"/>
  <c r="D9" i="22"/>
  <c r="E5" i="24" s="1"/>
  <c r="M5" i="24" s="1"/>
  <c r="W38" i="18"/>
  <c r="R18" i="8"/>
  <c r="C9" i="8" s="1"/>
  <c r="C7" i="8"/>
  <c r="D9" i="20"/>
  <c r="E13" i="24" s="1"/>
  <c r="M13" i="24" s="1"/>
  <c r="E9" i="20"/>
  <c r="F13" i="24" s="1"/>
  <c r="N13" i="24" s="1"/>
  <c r="K61" i="18"/>
  <c r="T61" i="18" s="1"/>
  <c r="D6" i="8"/>
  <c r="T15" i="8"/>
  <c r="D10" i="10"/>
  <c r="E9" i="24" s="1"/>
  <c r="M9" i="24" s="1"/>
  <c r="U31" i="9"/>
  <c r="O5" i="25" s="1"/>
  <c r="R24" i="9"/>
  <c r="C6" i="9"/>
  <c r="S28" i="9"/>
  <c r="S21" i="9"/>
  <c r="R23" i="6"/>
  <c r="R29" i="6"/>
  <c r="B8" i="6" s="1"/>
  <c r="R26" i="9"/>
  <c r="B8" i="9" s="1"/>
  <c r="S26" i="9"/>
  <c r="R18" i="9"/>
  <c r="N38" i="18"/>
  <c r="U38" i="18" s="1"/>
  <c r="B16" i="17"/>
  <c r="S66" i="23"/>
  <c r="AR27" i="25" s="1"/>
  <c r="D21" i="18"/>
  <c r="S25" i="9"/>
  <c r="S24" i="6"/>
  <c r="R20" i="9"/>
  <c r="S22" i="9"/>
  <c r="S19" i="9"/>
  <c r="R28" i="9"/>
  <c r="R22" i="9"/>
  <c r="R28" i="6"/>
  <c r="AD50" i="25" s="1"/>
  <c r="AB50" i="25" s="1"/>
  <c r="T28" i="6"/>
  <c r="N50" i="25" s="1"/>
  <c r="C28" i="23"/>
  <c r="S45" i="23"/>
  <c r="U45" i="23"/>
  <c r="O52" i="25" s="1"/>
  <c r="O51" i="25" s="1"/>
  <c r="T30" i="7"/>
  <c r="R30" i="7"/>
  <c r="AE23" i="25" s="1"/>
  <c r="W54" i="18"/>
  <c r="O14" i="25" s="1"/>
  <c r="AQ18" i="25"/>
  <c r="AL18" i="25" s="1"/>
  <c r="S26" i="6"/>
  <c r="R24" i="6"/>
  <c r="S23" i="6"/>
  <c r="P67" i="23"/>
  <c r="S67" i="23" s="1"/>
  <c r="R25" i="6"/>
  <c r="R61" i="23"/>
  <c r="R53" i="23"/>
  <c r="R48" i="23"/>
  <c r="J30" i="7"/>
  <c r="M27" i="6"/>
  <c r="R27" i="6" s="1"/>
  <c r="S37" i="23"/>
  <c r="S39" i="23"/>
  <c r="R42" i="23"/>
  <c r="S68" i="23"/>
  <c r="AR31" i="25" s="1"/>
  <c r="S49" i="23"/>
  <c r="S54" i="23"/>
  <c r="S62" i="23"/>
  <c r="R38" i="23"/>
  <c r="N69" i="23"/>
  <c r="R68" i="23"/>
  <c r="AE31" i="25" s="1"/>
  <c r="R51" i="23"/>
  <c r="R26" i="6"/>
  <c r="AE19" i="25" s="1"/>
  <c r="R56" i="23"/>
  <c r="R58" i="23"/>
  <c r="S55" i="23"/>
  <c r="S56" i="23"/>
  <c r="R47" i="23"/>
  <c r="S48" i="23"/>
  <c r="R70" i="23"/>
  <c r="S43" i="23"/>
  <c r="AR29" i="25" s="1"/>
  <c r="S44" i="23"/>
  <c r="S27" i="6"/>
  <c r="AR49" i="25" s="1"/>
  <c r="S29" i="6"/>
  <c r="C8" i="6" s="1"/>
  <c r="R49" i="23"/>
  <c r="S58" i="23"/>
  <c r="R37" i="23"/>
  <c r="S70" i="23"/>
  <c r="S47" i="23"/>
  <c r="S64" i="23"/>
  <c r="R46" i="23"/>
  <c r="AD53" i="25" s="1"/>
  <c r="R63" i="23"/>
  <c r="S61" i="23"/>
  <c r="S59" i="23"/>
  <c r="B28" i="23"/>
  <c r="R45" i="23"/>
  <c r="R71" i="23"/>
  <c r="T38" i="23"/>
  <c r="N25" i="25" s="1"/>
  <c r="N63" i="25" s="1"/>
  <c r="M69" i="23"/>
  <c r="K66" i="23"/>
  <c r="K52" i="18"/>
  <c r="K39" i="18"/>
  <c r="N11" i="25" s="1"/>
  <c r="W75" i="18"/>
  <c r="AK18" i="25"/>
  <c r="AF18" i="25" s="1"/>
  <c r="B7" i="22"/>
  <c r="B6" i="22"/>
  <c r="C6" i="22"/>
  <c r="C7" i="22"/>
  <c r="E19" i="23"/>
  <c r="C19" i="23"/>
  <c r="E28" i="23"/>
  <c r="R17" i="10"/>
  <c r="R18" i="10"/>
  <c r="O49" i="25"/>
  <c r="C21" i="17"/>
  <c r="C9" i="17"/>
  <c r="D6" i="20" l="1"/>
  <c r="R75" i="18"/>
  <c r="U75" i="18" s="1"/>
  <c r="AR47" i="25" s="1"/>
  <c r="M65" i="18"/>
  <c r="T65" i="18" s="1"/>
  <c r="B7" i="8"/>
  <c r="O48" i="25"/>
  <c r="N54" i="18"/>
  <c r="U54" i="18" s="1"/>
  <c r="AR14" i="25" s="1"/>
  <c r="AK14" i="25" s="1"/>
  <c r="R53" i="18"/>
  <c r="U53" i="18" s="1"/>
  <c r="N52" i="18"/>
  <c r="D9" i="9"/>
  <c r="E8" i="24" s="1"/>
  <c r="M8" i="24" s="1"/>
  <c r="M52" i="18"/>
  <c r="T52" i="18" s="1"/>
  <c r="AE13" i="25" s="1"/>
  <c r="N65" i="18"/>
  <c r="U65" i="18" s="1"/>
  <c r="AR15" i="25" s="1"/>
  <c r="AQ49" i="25"/>
  <c r="AR52" i="25"/>
  <c r="AQ53" i="25"/>
  <c r="AK53" i="25"/>
  <c r="AR44" i="25"/>
  <c r="Y54" i="25"/>
  <c r="AQ10" i="25"/>
  <c r="AL10" i="25" s="1"/>
  <c r="T47" i="25"/>
  <c r="S47" i="25"/>
  <c r="U47" i="25"/>
  <c r="V47" i="25"/>
  <c r="W47" i="25"/>
  <c r="V46" i="25"/>
  <c r="T46" i="25"/>
  <c r="S46" i="25"/>
  <c r="U46" i="25"/>
  <c r="W46" i="25"/>
  <c r="S45" i="25"/>
  <c r="W45" i="25"/>
  <c r="V45" i="25"/>
  <c r="U45" i="25"/>
  <c r="T45" i="25"/>
  <c r="AD47" i="25"/>
  <c r="X52" i="25"/>
  <c r="AA50" i="25"/>
  <c r="Z50" i="25"/>
  <c r="AC50" i="25"/>
  <c r="Y50" i="25"/>
  <c r="V61" i="18"/>
  <c r="N15" i="25" s="1"/>
  <c r="E6" i="20"/>
  <c r="T17" i="8"/>
  <c r="E6" i="8" s="1"/>
  <c r="B6" i="8"/>
  <c r="Q18" i="8"/>
  <c r="B9" i="8" s="1"/>
  <c r="AQ12" i="25"/>
  <c r="X10" i="25"/>
  <c r="AK10" i="25"/>
  <c r="AF10" i="25" s="1"/>
  <c r="AQ22" i="25"/>
  <c r="AO22" i="25" s="1"/>
  <c r="AQ27" i="25"/>
  <c r="AM27" i="25" s="1"/>
  <c r="AQ16" i="25"/>
  <c r="X22" i="25"/>
  <c r="V22" i="25" s="1"/>
  <c r="AE12" i="25"/>
  <c r="AK22" i="25"/>
  <c r="AI22" i="25" s="1"/>
  <c r="E27" i="23"/>
  <c r="U30" i="6"/>
  <c r="E11" i="6" s="1"/>
  <c r="F11" i="24" s="1"/>
  <c r="N11" i="24" s="1"/>
  <c r="AD45" i="25"/>
  <c r="R44" i="20"/>
  <c r="AR32" i="25" s="1"/>
  <c r="E10" i="6"/>
  <c r="T62" i="23"/>
  <c r="N26" i="25" s="1"/>
  <c r="D26" i="23"/>
  <c r="X50" i="25"/>
  <c r="T30" i="21"/>
  <c r="AR7" i="25" s="1"/>
  <c r="AR68" i="25" s="1"/>
  <c r="Q20" i="22"/>
  <c r="AE8" i="25" s="1"/>
  <c r="X8" i="25" s="1"/>
  <c r="T8" i="25" s="1"/>
  <c r="AE21" i="25"/>
  <c r="AE20" i="25" s="1"/>
  <c r="B7" i="7"/>
  <c r="R20" i="22"/>
  <c r="AR8" i="25" s="1"/>
  <c r="C7" i="9"/>
  <c r="C18" i="23"/>
  <c r="T27" i="6"/>
  <c r="N49" i="25" s="1"/>
  <c r="N48" i="25" s="1"/>
  <c r="S28" i="6"/>
  <c r="AR50" i="25" s="1"/>
  <c r="AR48" i="25" s="1"/>
  <c r="AK27" i="25"/>
  <c r="AG27" i="25" s="1"/>
  <c r="U70" i="18"/>
  <c r="E18" i="23"/>
  <c r="AD46" i="25"/>
  <c r="S38" i="23"/>
  <c r="AR25" i="25" s="1"/>
  <c r="S30" i="21"/>
  <c r="AE7" i="25" s="1"/>
  <c r="X7" i="25" s="1"/>
  <c r="T7" i="25" s="1"/>
  <c r="C7" i="7"/>
  <c r="AR11" i="25"/>
  <c r="B21" i="18"/>
  <c r="AD16" i="25"/>
  <c r="X16" i="25"/>
  <c r="Q44" i="20"/>
  <c r="AE32" i="25" s="1"/>
  <c r="X32" i="25" s="1"/>
  <c r="AD52" i="25"/>
  <c r="C9" i="6"/>
  <c r="AR26" i="25"/>
  <c r="AD10" i="25"/>
  <c r="Y10" i="25" s="1"/>
  <c r="AK12" i="25"/>
  <c r="AE15" i="25"/>
  <c r="AE25" i="25"/>
  <c r="R31" i="9"/>
  <c r="AE5" i="25" s="1"/>
  <c r="AR19" i="25"/>
  <c r="AK16" i="25"/>
  <c r="AE26" i="25"/>
  <c r="B7" i="9"/>
  <c r="AD22" i="25"/>
  <c r="AB22" i="25" s="1"/>
  <c r="D8" i="7"/>
  <c r="N23" i="25"/>
  <c r="N20" i="25" s="1"/>
  <c r="N62" i="25" s="1"/>
  <c r="N60" i="25" s="1"/>
  <c r="T54" i="18"/>
  <c r="AE14" i="25" s="1"/>
  <c r="AE18" i="25"/>
  <c r="C8" i="9"/>
  <c r="S31" i="9"/>
  <c r="AR5" i="25" s="1"/>
  <c r="B8" i="7"/>
  <c r="T18" i="8"/>
  <c r="E9" i="8" s="1"/>
  <c r="E7" i="8"/>
  <c r="E9" i="9"/>
  <c r="F8" i="24" s="1"/>
  <c r="N8" i="24" s="1"/>
  <c r="AQ14" i="25"/>
  <c r="AK29" i="25"/>
  <c r="AQ29" i="25"/>
  <c r="AD19" i="25"/>
  <c r="Y19" i="25" s="1"/>
  <c r="X19" i="25"/>
  <c r="S19" i="25" s="1"/>
  <c r="S69" i="23"/>
  <c r="AR28" i="25" s="1"/>
  <c r="AR54" i="25" s="1"/>
  <c r="AK54" i="25" s="1"/>
  <c r="U69" i="23"/>
  <c r="O28" i="25" s="1"/>
  <c r="U30" i="7"/>
  <c r="O23" i="25" s="1"/>
  <c r="S30" i="7"/>
  <c r="AR23" i="25" s="1"/>
  <c r="B9" i="6"/>
  <c r="T32" i="7"/>
  <c r="D10" i="7" s="1"/>
  <c r="E12" i="24" s="1"/>
  <c r="M12" i="24" s="1"/>
  <c r="E17" i="23"/>
  <c r="X53" i="25"/>
  <c r="R32" i="7"/>
  <c r="B10" i="7" s="1"/>
  <c r="C12" i="24" s="1"/>
  <c r="K12" i="24" s="1"/>
  <c r="C17" i="23"/>
  <c r="X31" i="25"/>
  <c r="AD31" i="25"/>
  <c r="E26" i="23"/>
  <c r="AQ30" i="25"/>
  <c r="AK30" i="25"/>
  <c r="AQ21" i="25"/>
  <c r="AM21" i="25" s="1"/>
  <c r="AK21" i="25"/>
  <c r="AG21" i="25" s="1"/>
  <c r="AK31" i="25"/>
  <c r="AQ31" i="25"/>
  <c r="AD23" i="25"/>
  <c r="AB23" i="25" s="1"/>
  <c r="X23" i="25"/>
  <c r="V23" i="25" s="1"/>
  <c r="C11" i="17"/>
  <c r="C16" i="17"/>
  <c r="B7" i="10"/>
  <c r="S18" i="10"/>
  <c r="C7" i="10" s="1"/>
  <c r="O47" i="25"/>
  <c r="O43" i="25" s="1"/>
  <c r="E21" i="18"/>
  <c r="X29" i="25"/>
  <c r="S29" i="25" s="1"/>
  <c r="AD29" i="25"/>
  <c r="B8" i="10"/>
  <c r="S17" i="10"/>
  <c r="R19" i="10"/>
  <c r="AE6" i="25" s="1"/>
  <c r="V39" i="18"/>
  <c r="T39" i="18"/>
  <c r="AE11" i="25" s="1"/>
  <c r="R66" i="23"/>
  <c r="AE27" i="25" s="1"/>
  <c r="B18" i="23"/>
  <c r="D27" i="23"/>
  <c r="V52" i="18"/>
  <c r="N13" i="25" s="1"/>
  <c r="L52" i="18"/>
  <c r="R69" i="23"/>
  <c r="AE28" i="25" s="1"/>
  <c r="AE54" i="25" s="1"/>
  <c r="AD54" i="25" s="1"/>
  <c r="T69" i="23"/>
  <c r="N28" i="25" s="1"/>
  <c r="B17" i="23"/>
  <c r="AK47" i="25"/>
  <c r="AE48" i="25"/>
  <c r="R30" i="6"/>
  <c r="B11" i="6" s="1"/>
  <c r="C11" i="24" s="1"/>
  <c r="K11" i="24" s="1"/>
  <c r="B10" i="6"/>
  <c r="D17" i="23"/>
  <c r="X65" i="25" l="1"/>
  <c r="AD65" i="25"/>
  <c r="AQ65" i="25"/>
  <c r="AK65" i="25"/>
  <c r="AQ54" i="25"/>
  <c r="AC54" i="25"/>
  <c r="AB54" i="25"/>
  <c r="AH54" i="25"/>
  <c r="AG54" i="25"/>
  <c r="AJ54" i="25"/>
  <c r="AI54" i="25"/>
  <c r="AR51" i="25"/>
  <c r="AJ47" i="25"/>
  <c r="AF47" i="25"/>
  <c r="AI47" i="25"/>
  <c r="AH47" i="25"/>
  <c r="AG47" i="25"/>
  <c r="X54" i="25"/>
  <c r="V54" i="25" s="1"/>
  <c r="AE51" i="25"/>
  <c r="AI53" i="25"/>
  <c r="AH53" i="25"/>
  <c r="AG53" i="25"/>
  <c r="AJ53" i="25"/>
  <c r="Z54" i="25"/>
  <c r="AK68" i="25"/>
  <c r="AQ68" i="25"/>
  <c r="AA54" i="25"/>
  <c r="S54" i="25"/>
  <c r="AR67" i="25"/>
  <c r="AK64" i="25"/>
  <c r="AQ64" i="25"/>
  <c r="AE60" i="25"/>
  <c r="X68" i="25"/>
  <c r="X63" i="25"/>
  <c r="AD63" i="25"/>
  <c r="X64" i="25"/>
  <c r="AD64" i="25"/>
  <c r="AD62" i="25"/>
  <c r="X62" i="25"/>
  <c r="AQ52" i="25"/>
  <c r="AN52" i="25" s="1"/>
  <c r="AK52" i="25"/>
  <c r="AM49" i="25"/>
  <c r="AN49" i="25"/>
  <c r="AO49" i="25"/>
  <c r="AL49" i="25"/>
  <c r="AP49" i="25"/>
  <c r="AQ44" i="25"/>
  <c r="AM54" i="25"/>
  <c r="AP54" i="25"/>
  <c r="AL54" i="25"/>
  <c r="AO54" i="25"/>
  <c r="AN53" i="25"/>
  <c r="AO53" i="25"/>
  <c r="AM53" i="25"/>
  <c r="AP53" i="25"/>
  <c r="AL53" i="25"/>
  <c r="AR46" i="25"/>
  <c r="AK50" i="25"/>
  <c r="AR45" i="25"/>
  <c r="AQ45" i="25" s="1"/>
  <c r="AK44" i="25"/>
  <c r="AK49" i="25"/>
  <c r="Z47" i="25"/>
  <c r="AA47" i="25"/>
  <c r="Y47" i="25"/>
  <c r="AC47" i="25"/>
  <c r="AB47" i="25"/>
  <c r="N9" i="25"/>
  <c r="AN30" i="25"/>
  <c r="AO30" i="25"/>
  <c r="AM30" i="25"/>
  <c r="AP30" i="25"/>
  <c r="AL30" i="25"/>
  <c r="AN14" i="25"/>
  <c r="AP14" i="25"/>
  <c r="AO14" i="25"/>
  <c r="AO31" i="25"/>
  <c r="AN31" i="25"/>
  <c r="AP31" i="25"/>
  <c r="AL31" i="25"/>
  <c r="AM31" i="25"/>
  <c r="AM29" i="25"/>
  <c r="AN29" i="25"/>
  <c r="AL29" i="25"/>
  <c r="AO29" i="25"/>
  <c r="AP29" i="25"/>
  <c r="AA52" i="25"/>
  <c r="Z52" i="25"/>
  <c r="Y52" i="25"/>
  <c r="AC52" i="25"/>
  <c r="AB52" i="25"/>
  <c r="AO16" i="25"/>
  <c r="AN16" i="25"/>
  <c r="AP16" i="25"/>
  <c r="AM16" i="25"/>
  <c r="AL16" i="25"/>
  <c r="AA46" i="25"/>
  <c r="AC46" i="25"/>
  <c r="Y46" i="25"/>
  <c r="Z46" i="25"/>
  <c r="AB46" i="25"/>
  <c r="AB53" i="25"/>
  <c r="Z53" i="25"/>
  <c r="Y53" i="25"/>
  <c r="AC53" i="25"/>
  <c r="AA53" i="25"/>
  <c r="W53" i="25"/>
  <c r="S53" i="25"/>
  <c r="T53" i="25"/>
  <c r="V53" i="25"/>
  <c r="U53" i="25"/>
  <c r="AC45" i="25"/>
  <c r="Y45" i="25"/>
  <c r="AB45" i="25"/>
  <c r="Z45" i="25"/>
  <c r="AA45" i="25"/>
  <c r="AM12" i="25"/>
  <c r="AL12" i="25"/>
  <c r="AN12" i="25"/>
  <c r="U52" i="25"/>
  <c r="T52" i="25"/>
  <c r="W52" i="25"/>
  <c r="V52" i="25"/>
  <c r="S52" i="25"/>
  <c r="S10" i="25"/>
  <c r="X51" i="25"/>
  <c r="AD51" i="25"/>
  <c r="X44" i="25"/>
  <c r="AE43" i="25"/>
  <c r="AD21" i="25"/>
  <c r="Z21" i="25" s="1"/>
  <c r="C9" i="20"/>
  <c r="D13" i="24" s="1"/>
  <c r="L13" i="24" s="1"/>
  <c r="AB29" i="25"/>
  <c r="AA29" i="25"/>
  <c r="Y29" i="25"/>
  <c r="Z29" i="25"/>
  <c r="AC29" i="25"/>
  <c r="AA16" i="25"/>
  <c r="AB16" i="25"/>
  <c r="Z16" i="25"/>
  <c r="AC16" i="25"/>
  <c r="Y16" i="25"/>
  <c r="V50" i="25"/>
  <c r="S50" i="25"/>
  <c r="U50" i="25"/>
  <c r="W50" i="25"/>
  <c r="T50" i="25"/>
  <c r="Z31" i="25"/>
  <c r="AA31" i="25"/>
  <c r="AC31" i="25"/>
  <c r="Y31" i="25"/>
  <c r="AB31" i="25"/>
  <c r="AD44" i="25"/>
  <c r="AD12" i="25"/>
  <c r="AD8" i="25"/>
  <c r="AQ28" i="25"/>
  <c r="AD26" i="25"/>
  <c r="Z26" i="25" s="1"/>
  <c r="B9" i="22"/>
  <c r="C5" i="24" s="1"/>
  <c r="K5" i="24" s="1"/>
  <c r="AQ8" i="25"/>
  <c r="AO8" i="25" s="1"/>
  <c r="AD14" i="25"/>
  <c r="AQ19" i="25"/>
  <c r="AE17" i="25"/>
  <c r="AD30" i="25"/>
  <c r="X15" i="25"/>
  <c r="U15" i="25" s="1"/>
  <c r="AK26" i="25"/>
  <c r="AG26" i="25" s="1"/>
  <c r="X21" i="25"/>
  <c r="T21" i="25" s="1"/>
  <c r="AF30" i="25"/>
  <c r="AI30" i="25"/>
  <c r="AH30" i="25"/>
  <c r="AJ30" i="25"/>
  <c r="AG30" i="25"/>
  <c r="AF16" i="25"/>
  <c r="AJ16" i="25"/>
  <c r="AI16" i="25"/>
  <c r="AH16" i="25"/>
  <c r="AG16" i="25"/>
  <c r="AF31" i="25"/>
  <c r="AI31" i="25"/>
  <c r="AH31" i="25"/>
  <c r="AG31" i="25"/>
  <c r="AJ31" i="25"/>
  <c r="AH14" i="25"/>
  <c r="AI14" i="25"/>
  <c r="AJ14" i="25"/>
  <c r="AF12" i="25"/>
  <c r="AH12" i="25"/>
  <c r="AG12" i="25"/>
  <c r="AF29" i="25"/>
  <c r="AJ29" i="25"/>
  <c r="AH29" i="25"/>
  <c r="AI29" i="25"/>
  <c r="AG29" i="25"/>
  <c r="T29" i="25"/>
  <c r="U29" i="25"/>
  <c r="V29" i="25"/>
  <c r="W29" i="25"/>
  <c r="T16" i="25"/>
  <c r="U16" i="25"/>
  <c r="S16" i="25"/>
  <c r="V16" i="25"/>
  <c r="W16" i="25"/>
  <c r="T31" i="25"/>
  <c r="S31" i="25"/>
  <c r="U31" i="25"/>
  <c r="V31" i="25"/>
  <c r="W31" i="25"/>
  <c r="S30" i="6"/>
  <c r="C11" i="6" s="1"/>
  <c r="D11" i="24" s="1"/>
  <c r="L11" i="24" s="1"/>
  <c r="C9" i="22"/>
  <c r="D5" i="24" s="1"/>
  <c r="L5" i="24" s="1"/>
  <c r="B9" i="20"/>
  <c r="C13" i="24" s="1"/>
  <c r="K13" i="24" s="1"/>
  <c r="C6" i="20"/>
  <c r="C21" i="18"/>
  <c r="T30" i="6"/>
  <c r="D11" i="6" s="1"/>
  <c r="E11" i="24" s="1"/>
  <c r="M11" i="24" s="1"/>
  <c r="D10" i="6"/>
  <c r="AK8" i="25"/>
  <c r="B11" i="21"/>
  <c r="C4" i="24" s="1"/>
  <c r="K4" i="24" s="1"/>
  <c r="C11" i="21"/>
  <c r="D4" i="24" s="1"/>
  <c r="L4" i="24" s="1"/>
  <c r="X26" i="25"/>
  <c r="T26" i="25" s="1"/>
  <c r="C27" i="23"/>
  <c r="X12" i="25"/>
  <c r="X14" i="25"/>
  <c r="AQ50" i="25"/>
  <c r="B26" i="23"/>
  <c r="C10" i="6"/>
  <c r="AD15" i="25"/>
  <c r="AQ26" i="25"/>
  <c r="AM26" i="25" s="1"/>
  <c r="B9" i="9"/>
  <c r="C8" i="24" s="1"/>
  <c r="K8" i="24" s="1"/>
  <c r="B6" i="20"/>
  <c r="AK28" i="25"/>
  <c r="S75" i="23"/>
  <c r="C29" i="23" s="1"/>
  <c r="D7" i="24" s="1"/>
  <c r="L7" i="24" s="1"/>
  <c r="R74" i="23"/>
  <c r="B20" i="23" s="1"/>
  <c r="C6" i="24" s="1"/>
  <c r="K6" i="24" s="1"/>
  <c r="AK15" i="25"/>
  <c r="AQ15" i="25"/>
  <c r="C26" i="23"/>
  <c r="R75" i="23"/>
  <c r="B29" i="23" s="1"/>
  <c r="C7" i="24" s="1"/>
  <c r="K7" i="24" s="1"/>
  <c r="X18" i="25"/>
  <c r="AR17" i="25"/>
  <c r="AD18" i="25"/>
  <c r="AK19" i="25"/>
  <c r="S74" i="23"/>
  <c r="C20" i="23" s="1"/>
  <c r="D6" i="24" s="1"/>
  <c r="L6" i="24" s="1"/>
  <c r="X30" i="25"/>
  <c r="C9" i="9"/>
  <c r="D8" i="24" s="1"/>
  <c r="L8" i="24" s="1"/>
  <c r="X25" i="25"/>
  <c r="T25" i="25" s="1"/>
  <c r="AD25" i="25"/>
  <c r="Z25" i="25" s="1"/>
  <c r="O24" i="25"/>
  <c r="U74" i="23"/>
  <c r="E20" i="23" s="1"/>
  <c r="U75" i="23"/>
  <c r="E29" i="23" s="1"/>
  <c r="N24" i="25"/>
  <c r="C8" i="7"/>
  <c r="S32" i="7"/>
  <c r="C10" i="7" s="1"/>
  <c r="D12" i="24" s="1"/>
  <c r="L12" i="24" s="1"/>
  <c r="U32" i="7"/>
  <c r="E10" i="7" s="1"/>
  <c r="F12" i="24" s="1"/>
  <c r="N12" i="24" s="1"/>
  <c r="E8" i="7"/>
  <c r="O20" i="25"/>
  <c r="O62" i="25" s="1"/>
  <c r="O60" i="25" s="1"/>
  <c r="T74" i="23"/>
  <c r="D20" i="23" s="1"/>
  <c r="E6" i="24" s="1"/>
  <c r="B20" i="18"/>
  <c r="T81" i="18"/>
  <c r="B22" i="18" s="1"/>
  <c r="C10" i="24" s="1"/>
  <c r="K10" i="24" s="1"/>
  <c r="AD28" i="25"/>
  <c r="X28" i="25"/>
  <c r="V28" i="25" s="1"/>
  <c r="D20" i="18"/>
  <c r="V81" i="18"/>
  <c r="D22" i="18" s="1"/>
  <c r="E10" i="24" s="1"/>
  <c r="M10" i="24" s="1"/>
  <c r="B10" i="10"/>
  <c r="C9" i="24" s="1"/>
  <c r="K9" i="24" s="1"/>
  <c r="AQ47" i="25"/>
  <c r="AD13" i="25"/>
  <c r="X13" i="25"/>
  <c r="AQ11" i="25"/>
  <c r="AK11" i="25"/>
  <c r="C8" i="10"/>
  <c r="S19" i="10"/>
  <c r="AR6" i="25" s="1"/>
  <c r="AD49" i="25"/>
  <c r="AD48" i="25" s="1"/>
  <c r="X49" i="25"/>
  <c r="X48" i="25" s="1"/>
  <c r="AQ7" i="25"/>
  <c r="AK7" i="25"/>
  <c r="W52" i="18"/>
  <c r="O13" i="25" s="1"/>
  <c r="O9" i="25" s="1"/>
  <c r="U52" i="18"/>
  <c r="AR13" i="25" s="1"/>
  <c r="AD32" i="25"/>
  <c r="T75" i="23"/>
  <c r="D29" i="23" s="1"/>
  <c r="E7" i="24" s="1"/>
  <c r="B27" i="23"/>
  <c r="AD7" i="25"/>
  <c r="AK25" i="25"/>
  <c r="AG25" i="25" s="1"/>
  <c r="AR24" i="25"/>
  <c r="AQ25" i="25"/>
  <c r="AM25" i="25" s="1"/>
  <c r="AQ32" i="25"/>
  <c r="AK32" i="25"/>
  <c r="AF32" i="25" s="1"/>
  <c r="AG65" i="25" l="1"/>
  <c r="AF65" i="25"/>
  <c r="AI65" i="25"/>
  <c r="AH65" i="25"/>
  <c r="AH64" i="25"/>
  <c r="AG64" i="25"/>
  <c r="AJ64" i="25"/>
  <c r="AF64" i="25"/>
  <c r="AI64" i="25"/>
  <c r="AK67" i="25"/>
  <c r="AJ68" i="25"/>
  <c r="AF68" i="25"/>
  <c r="AI68" i="25"/>
  <c r="AH68" i="25"/>
  <c r="AG68" i="25"/>
  <c r="AL65" i="25"/>
  <c r="AO65" i="25"/>
  <c r="AN65" i="25"/>
  <c r="AM65" i="25"/>
  <c r="AB65" i="25"/>
  <c r="Z65" i="25"/>
  <c r="AA65" i="25"/>
  <c r="Y65" i="25"/>
  <c r="S65" i="25"/>
  <c r="V65" i="25"/>
  <c r="T65" i="25"/>
  <c r="U65" i="25"/>
  <c r="AQ51" i="25"/>
  <c r="AN54" i="25"/>
  <c r="X61" i="25"/>
  <c r="U54" i="25"/>
  <c r="W54" i="25"/>
  <c r="AJ49" i="25"/>
  <c r="AF49" i="25"/>
  <c r="AI49" i="25"/>
  <c r="AH49" i="25"/>
  <c r="AG49" i="25"/>
  <c r="AG50" i="25"/>
  <c r="AJ50" i="25"/>
  <c r="AF50" i="25"/>
  <c r="AI50" i="25"/>
  <c r="AH50" i="25"/>
  <c r="AJ44" i="25"/>
  <c r="AI44" i="25"/>
  <c r="AH44" i="25"/>
  <c r="AG44" i="25"/>
  <c r="AF44" i="25"/>
  <c r="AK51" i="25"/>
  <c r="AH52" i="25"/>
  <c r="AG52" i="25"/>
  <c r="AJ52" i="25"/>
  <c r="AI52" i="25"/>
  <c r="T54" i="25"/>
  <c r="T68" i="25"/>
  <c r="W68" i="25"/>
  <c r="S68" i="25"/>
  <c r="U68" i="25"/>
  <c r="V68" i="25"/>
  <c r="AP68" i="25"/>
  <c r="AM68" i="25"/>
  <c r="AO68" i="25"/>
  <c r="AL68" i="25"/>
  <c r="AN68" i="25"/>
  <c r="AK61" i="25"/>
  <c r="Y12" i="25"/>
  <c r="Z12" i="25"/>
  <c r="AA12" i="25"/>
  <c r="AQ67" i="25"/>
  <c r="AK63" i="25"/>
  <c r="AQ63" i="25"/>
  <c r="AP64" i="25"/>
  <c r="AL64" i="25"/>
  <c r="AO64" i="25"/>
  <c r="AM64" i="25"/>
  <c r="AN64" i="25"/>
  <c r="AQ61" i="25"/>
  <c r="AE67" i="25"/>
  <c r="AQ46" i="25"/>
  <c r="AM46" i="25" s="1"/>
  <c r="AK46" i="25"/>
  <c r="AO52" i="25"/>
  <c r="AL52" i="25"/>
  <c r="AM52" i="25"/>
  <c r="AP52" i="25"/>
  <c r="X60" i="25"/>
  <c r="AC64" i="25"/>
  <c r="Z64" i="25"/>
  <c r="AA64" i="25"/>
  <c r="AB64" i="25"/>
  <c r="Y64" i="25"/>
  <c r="AD61" i="25"/>
  <c r="U64" i="25"/>
  <c r="T64" i="25"/>
  <c r="S64" i="25"/>
  <c r="W64" i="25"/>
  <c r="V64" i="25"/>
  <c r="U62" i="25"/>
  <c r="W62" i="25"/>
  <c r="V62" i="25"/>
  <c r="S62" i="25"/>
  <c r="T62" i="25"/>
  <c r="AC63" i="25"/>
  <c r="Z63" i="25"/>
  <c r="AB63" i="25"/>
  <c r="Y63" i="25"/>
  <c r="AA63" i="25"/>
  <c r="AC62" i="25"/>
  <c r="Z62" i="25"/>
  <c r="Y62" i="25"/>
  <c r="AA62" i="25"/>
  <c r="AB62" i="25"/>
  <c r="U63" i="25"/>
  <c r="S63" i="25"/>
  <c r="W63" i="25"/>
  <c r="T63" i="25"/>
  <c r="V63" i="25"/>
  <c r="AP50" i="25"/>
  <c r="AL50" i="25"/>
  <c r="AM50" i="25"/>
  <c r="AO50" i="25"/>
  <c r="AN50" i="25"/>
  <c r="AQ48" i="25"/>
  <c r="AN47" i="25"/>
  <c r="AO47" i="25"/>
  <c r="AM47" i="25"/>
  <c r="AP47" i="25"/>
  <c r="AL47" i="25"/>
  <c r="AR43" i="25"/>
  <c r="AP44" i="25"/>
  <c r="AO44" i="25"/>
  <c r="AM44" i="25"/>
  <c r="AN44" i="25"/>
  <c r="AL44" i="25"/>
  <c r="AO45" i="25"/>
  <c r="AL45" i="25"/>
  <c r="AN45" i="25"/>
  <c r="AM45" i="25"/>
  <c r="AP45" i="25"/>
  <c r="AK45" i="25"/>
  <c r="AK48" i="25"/>
  <c r="AP32" i="25"/>
  <c r="AL32" i="25"/>
  <c r="AO32" i="25"/>
  <c r="AN32" i="25"/>
  <c r="AM32" i="25"/>
  <c r="X20" i="25"/>
  <c r="AQ17" i="25"/>
  <c r="AL19" i="25"/>
  <c r="AD20" i="25"/>
  <c r="AP28" i="25"/>
  <c r="AO28" i="25"/>
  <c r="AN28" i="25"/>
  <c r="AM28" i="25"/>
  <c r="AD43" i="25"/>
  <c r="AB44" i="25"/>
  <c r="Y44" i="25"/>
  <c r="AA44" i="25"/>
  <c r="AC44" i="25"/>
  <c r="Z44" i="25"/>
  <c r="X43" i="25"/>
  <c r="W44" i="25"/>
  <c r="U44" i="25"/>
  <c r="T44" i="25"/>
  <c r="V44" i="25"/>
  <c r="S44" i="25"/>
  <c r="AL7" i="25"/>
  <c r="AO7" i="25"/>
  <c r="AN7" i="25"/>
  <c r="AP7" i="25"/>
  <c r="AM7" i="25"/>
  <c r="AN11" i="25"/>
  <c r="AO11" i="25"/>
  <c r="AP11" i="25"/>
  <c r="AM11" i="25"/>
  <c r="AL11" i="25"/>
  <c r="AN15" i="25"/>
  <c r="AO15" i="25"/>
  <c r="AP15" i="25"/>
  <c r="AM15" i="25"/>
  <c r="AP8" i="25"/>
  <c r="AM8" i="25"/>
  <c r="AL8" i="25"/>
  <c r="AN8" i="25"/>
  <c r="AC49" i="25"/>
  <c r="Y49" i="25"/>
  <c r="AB49" i="25"/>
  <c r="AA49" i="25"/>
  <c r="Z49" i="25"/>
  <c r="AA30" i="25"/>
  <c r="Z30" i="25"/>
  <c r="AB30" i="25"/>
  <c r="AC30" i="25"/>
  <c r="Y30" i="25"/>
  <c r="AA8" i="25"/>
  <c r="AC8" i="25"/>
  <c r="Y8" i="25"/>
  <c r="Z8" i="25"/>
  <c r="AB8" i="25"/>
  <c r="AC32" i="25"/>
  <c r="Y32" i="25"/>
  <c r="AB32" i="25"/>
  <c r="AA32" i="25"/>
  <c r="Z32" i="25"/>
  <c r="AC28" i="25"/>
  <c r="Z28" i="25"/>
  <c r="AB28" i="25"/>
  <c r="AA28" i="25"/>
  <c r="Y13" i="25"/>
  <c r="Z13" i="25"/>
  <c r="AA13" i="25"/>
  <c r="AB15" i="25"/>
  <c r="AA15" i="25"/>
  <c r="AC15" i="25"/>
  <c r="Z15" i="25"/>
  <c r="Y7" i="25"/>
  <c r="AB7" i="25"/>
  <c r="Z7" i="25"/>
  <c r="AA7" i="25"/>
  <c r="AC7" i="25"/>
  <c r="W49" i="25"/>
  <c r="S49" i="25"/>
  <c r="V49" i="25"/>
  <c r="T49" i="25"/>
  <c r="U49" i="25"/>
  <c r="AD17" i="25"/>
  <c r="Y18" i="25"/>
  <c r="AC14" i="25"/>
  <c r="AB14" i="25"/>
  <c r="AA14" i="25"/>
  <c r="T15" i="25"/>
  <c r="W15" i="25"/>
  <c r="V15" i="25"/>
  <c r="AF7" i="25"/>
  <c r="AI7" i="25"/>
  <c r="AG7" i="25"/>
  <c r="AJ7" i="25"/>
  <c r="AH7" i="25"/>
  <c r="AI15" i="25"/>
  <c r="AJ15" i="25"/>
  <c r="AG15" i="25"/>
  <c r="AH15" i="25"/>
  <c r="AF11" i="25"/>
  <c r="AI11" i="25"/>
  <c r="AJ11" i="25"/>
  <c r="AG11" i="25"/>
  <c r="AH11" i="25"/>
  <c r="AH32" i="25"/>
  <c r="AJ32" i="25"/>
  <c r="AI32" i="25"/>
  <c r="AG32" i="25"/>
  <c r="AI28" i="25"/>
  <c r="AJ28" i="25"/>
  <c r="AG28" i="25"/>
  <c r="AH28" i="25"/>
  <c r="AF8" i="25"/>
  <c r="AJ8" i="25"/>
  <c r="AH8" i="25"/>
  <c r="AG8" i="25"/>
  <c r="AI8" i="25"/>
  <c r="AK17" i="25"/>
  <c r="AF19" i="25"/>
  <c r="U8" i="25"/>
  <c r="S8" i="25"/>
  <c r="V8" i="25"/>
  <c r="W8" i="25"/>
  <c r="U14" i="25"/>
  <c r="V14" i="25"/>
  <c r="W14" i="25"/>
  <c r="T30" i="25"/>
  <c r="U30" i="25"/>
  <c r="V30" i="25"/>
  <c r="W30" i="25"/>
  <c r="S30" i="25"/>
  <c r="S7" i="25"/>
  <c r="U7" i="25"/>
  <c r="V7" i="25"/>
  <c r="W7" i="25"/>
  <c r="T32" i="25"/>
  <c r="U32" i="25"/>
  <c r="S32" i="25"/>
  <c r="V32" i="25"/>
  <c r="W32" i="25"/>
  <c r="T28" i="25"/>
  <c r="U28" i="25"/>
  <c r="W28" i="25"/>
  <c r="X17" i="25"/>
  <c r="S18" i="25"/>
  <c r="T12" i="25"/>
  <c r="U12" i="25"/>
  <c r="S12" i="25"/>
  <c r="T13" i="25"/>
  <c r="U13" i="25"/>
  <c r="S13" i="25"/>
  <c r="AK24" i="25"/>
  <c r="AQ24" i="25"/>
  <c r="C15" i="24"/>
  <c r="K15" i="24" s="1"/>
  <c r="C14" i="24"/>
  <c r="K14" i="24" s="1"/>
  <c r="F6" i="24"/>
  <c r="N6" i="24" s="1"/>
  <c r="F7" i="24"/>
  <c r="N7" i="24" s="1"/>
  <c r="AK23" i="25"/>
  <c r="AQ23" i="25"/>
  <c r="AR20" i="25"/>
  <c r="C10" i="10"/>
  <c r="D9" i="24" s="1"/>
  <c r="X27" i="25"/>
  <c r="AD27" i="25"/>
  <c r="Z27" i="25" s="1"/>
  <c r="AE24" i="25"/>
  <c r="M6" i="24"/>
  <c r="E15" i="24"/>
  <c r="M15" i="24" s="1"/>
  <c r="E14" i="24"/>
  <c r="M14" i="24" s="1"/>
  <c r="M7" i="24"/>
  <c r="X6" i="25"/>
  <c r="S6" i="25" s="1"/>
  <c r="AD6" i="25"/>
  <c r="Y6" i="25" s="1"/>
  <c r="AD11" i="25"/>
  <c r="AE9" i="25"/>
  <c r="X11" i="25"/>
  <c r="X9" i="25" s="1"/>
  <c r="C20" i="18"/>
  <c r="U81" i="18"/>
  <c r="C22" i="18" s="1"/>
  <c r="D10" i="24" s="1"/>
  <c r="L10" i="24" s="1"/>
  <c r="E20" i="18"/>
  <c r="W81" i="18"/>
  <c r="E22" i="18" s="1"/>
  <c r="F10" i="24" s="1"/>
  <c r="AG61" i="25" l="1"/>
  <c r="AF61" i="25"/>
  <c r="AH61" i="25"/>
  <c r="AJ61" i="25"/>
  <c r="AI61" i="25"/>
  <c r="AI63" i="25"/>
  <c r="AJ63" i="25"/>
  <c r="AH63" i="25"/>
  <c r="AF63" i="25"/>
  <c r="AG63" i="25"/>
  <c r="AN46" i="25"/>
  <c r="AQ43" i="25"/>
  <c r="AJ45" i="25"/>
  <c r="AI45" i="25"/>
  <c r="AH45" i="25"/>
  <c r="AF45" i="25"/>
  <c r="AG45" i="25"/>
  <c r="AJ46" i="25"/>
  <c r="AI46" i="25"/>
  <c r="AF46" i="25"/>
  <c r="AH46" i="25"/>
  <c r="AG46" i="25"/>
  <c r="Z11" i="25"/>
  <c r="T35" i="25" s="1"/>
  <c r="AA11" i="25"/>
  <c r="U35" i="25" s="1"/>
  <c r="AB11" i="25"/>
  <c r="V35" i="25" s="1"/>
  <c r="Y11" i="25"/>
  <c r="AC11" i="25"/>
  <c r="W35" i="25" s="1"/>
  <c r="AL46" i="25"/>
  <c r="AP61" i="25"/>
  <c r="AM61" i="25"/>
  <c r="AL61" i="25"/>
  <c r="AO61" i="25"/>
  <c r="AN61" i="25"/>
  <c r="AM63" i="25"/>
  <c r="AL63" i="25"/>
  <c r="AN63" i="25"/>
  <c r="AP63" i="25"/>
  <c r="AO63" i="25"/>
  <c r="U36" i="25"/>
  <c r="AP46" i="25"/>
  <c r="V36" i="25"/>
  <c r="T36" i="25"/>
  <c r="S36" i="25"/>
  <c r="W36" i="25"/>
  <c r="AO46" i="25"/>
  <c r="AD68" i="25"/>
  <c r="X67" i="25"/>
  <c r="AC61" i="25"/>
  <c r="AD60" i="25"/>
  <c r="Z61" i="25"/>
  <c r="Y61" i="25"/>
  <c r="AA61" i="25"/>
  <c r="AB61" i="25"/>
  <c r="U61" i="25"/>
  <c r="V61" i="25"/>
  <c r="T61" i="25"/>
  <c r="S61" i="25"/>
  <c r="W61" i="25"/>
  <c r="AK43" i="25"/>
  <c r="AJ35" i="25"/>
  <c r="AQ20" i="25"/>
  <c r="AO23" i="25"/>
  <c r="AI35" i="25" s="1"/>
  <c r="AD9" i="25"/>
  <c r="AD24" i="25"/>
  <c r="AJ34" i="25"/>
  <c r="AK20" i="25"/>
  <c r="AI23" i="25"/>
  <c r="AI34" i="25" s="1"/>
  <c r="X24" i="25"/>
  <c r="T27" i="25"/>
  <c r="T11" i="25"/>
  <c r="S11" i="25"/>
  <c r="U11" i="25"/>
  <c r="U34" i="25" s="1"/>
  <c r="V11" i="25"/>
  <c r="V34" i="25" s="1"/>
  <c r="W11" i="25"/>
  <c r="W34" i="25" s="1"/>
  <c r="AQ6" i="25"/>
  <c r="AL6" i="25" s="1"/>
  <c r="AK6" i="25"/>
  <c r="N10" i="24"/>
  <c r="F14" i="24"/>
  <c r="N14" i="24" s="1"/>
  <c r="F15" i="24"/>
  <c r="N15" i="24" s="1"/>
  <c r="AK13" i="25"/>
  <c r="AQ13" i="25"/>
  <c r="AR9" i="25"/>
  <c r="L9" i="24"/>
  <c r="D14" i="24"/>
  <c r="L14" i="24" s="1"/>
  <c r="D15" i="24"/>
  <c r="L15" i="24" s="1"/>
  <c r="AK62" i="25" l="1"/>
  <c r="AF36" i="25"/>
  <c r="AG36" i="25"/>
  <c r="AJ36" i="25"/>
  <c r="AI36" i="25"/>
  <c r="AH36" i="25"/>
  <c r="AD67" i="25"/>
  <c r="AC68" i="25"/>
  <c r="W37" i="25" s="1"/>
  <c r="AC35" i="25" s="1"/>
  <c r="Y68" i="25"/>
  <c r="S37" i="25" s="1"/>
  <c r="AB68" i="25"/>
  <c r="V37" i="25" s="1"/>
  <c r="AB35" i="25" s="1"/>
  <c r="Z68" i="25"/>
  <c r="T37" i="25" s="1"/>
  <c r="AA68" i="25"/>
  <c r="U37" i="25" s="1"/>
  <c r="AA35" i="25" s="1"/>
  <c r="AQ62" i="25"/>
  <c r="AR60" i="25"/>
  <c r="AQ9" i="25"/>
  <c r="AM13" i="25"/>
  <c r="AG35" i="25" s="1"/>
  <c r="AL13" i="25"/>
  <c r="AN13" i="25"/>
  <c r="AH35" i="25" s="1"/>
  <c r="T34" i="25"/>
  <c r="AH13" i="25"/>
  <c r="AH34" i="25" s="1"/>
  <c r="AG13" i="25"/>
  <c r="AG34" i="25" s="1"/>
  <c r="AK9" i="25"/>
  <c r="AF13" i="25"/>
  <c r="AF6" i="25"/>
  <c r="AK60" i="25" l="1"/>
  <c r="AJ62" i="25"/>
  <c r="AF62" i="25"/>
  <c r="AI62" i="25"/>
  <c r="AH62" i="25"/>
  <c r="AG62" i="25"/>
  <c r="Z35" i="25"/>
  <c r="AN62" i="25"/>
  <c r="AH37" i="25" s="1"/>
  <c r="AN35" i="25" s="1"/>
  <c r="AP62" i="25"/>
  <c r="AJ37" i="25" s="1"/>
  <c r="AP35" i="25" s="1"/>
  <c r="AL62" i="25"/>
  <c r="AO62" i="25"/>
  <c r="AM62" i="25"/>
  <c r="AG37" i="25" s="1"/>
  <c r="AM35" i="25" s="1"/>
  <c r="AQ60" i="25"/>
  <c r="AQ5" i="25"/>
  <c r="AD5" i="25"/>
  <c r="P5" i="25"/>
  <c r="X5" i="25" s="1"/>
  <c r="AI37" i="25" l="1"/>
  <c r="AO35" i="25" s="1"/>
  <c r="AF37" i="25"/>
  <c r="AL5" i="25"/>
  <c r="AF35" i="25" s="1"/>
  <c r="Y5" i="25"/>
  <c r="S35" i="25" s="1"/>
  <c r="S5" i="25"/>
  <c r="S34" i="25" s="1"/>
  <c r="AK5" i="25"/>
  <c r="AB36" i="25" l="1"/>
  <c r="AS19" i="25" s="1"/>
  <c r="Y35" i="25"/>
  <c r="AF5" i="25"/>
  <c r="AF34" i="25" s="1"/>
  <c r="AO36" i="25" l="1"/>
  <c r="AL35" i="25"/>
  <c r="AS12" i="25"/>
  <c r="AS15" i="25"/>
  <c r="B66" i="25"/>
  <c r="B67" i="25" s="1"/>
  <c r="AS8" i="25"/>
  <c r="AS28" i="25"/>
  <c r="AS23" i="25"/>
  <c r="AS29" i="25"/>
  <c r="AS13" i="25"/>
  <c r="AS30" i="25"/>
  <c r="AS17" i="25"/>
  <c r="AS18" i="25"/>
  <c r="AS22" i="25"/>
  <c r="AS14" i="25"/>
  <c r="AS5" i="25"/>
  <c r="AS11" i="25"/>
  <c r="AS24" i="25"/>
  <c r="AS10" i="25"/>
  <c r="AS25" i="25"/>
  <c r="AS27" i="25"/>
  <c r="AS32" i="25"/>
  <c r="AS6" i="25"/>
  <c r="AS26" i="25"/>
  <c r="AS7" i="25"/>
  <c r="AS20" i="25"/>
  <c r="AS9" i="25"/>
  <c r="AS16" i="25"/>
  <c r="AS21" i="25"/>
  <c r="AS31" i="25"/>
  <c r="AT8" i="25" l="1"/>
  <c r="C66" i="25"/>
  <c r="C67" i="25" s="1"/>
  <c r="AT13" i="25"/>
  <c r="AT30" i="25"/>
  <c r="AT16" i="25"/>
  <c r="AT11" i="25"/>
  <c r="AT7" i="25"/>
  <c r="AT6" i="25"/>
  <c r="AT31" i="25"/>
  <c r="AT26" i="25"/>
  <c r="AT24" i="25"/>
  <c r="AT12" i="25"/>
  <c r="AT28" i="25"/>
  <c r="AT21" i="25"/>
  <c r="AT32" i="25"/>
  <c r="AT29" i="25"/>
  <c r="AT10" i="25"/>
  <c r="AT25" i="25"/>
  <c r="AT18" i="25"/>
  <c r="AT5" i="25"/>
  <c r="AT9" i="25"/>
  <c r="AT14" i="25"/>
  <c r="AT22" i="25"/>
  <c r="AT17" i="25"/>
  <c r="AT15" i="25"/>
  <c r="AT27" i="25"/>
  <c r="AT20" i="25"/>
  <c r="AT19" i="25"/>
  <c r="AT23" i="25"/>
</calcChain>
</file>

<file path=xl/sharedStrings.xml><?xml version="1.0" encoding="utf-8"?>
<sst xmlns="http://schemas.openxmlformats.org/spreadsheetml/2006/main" count="2056" uniqueCount="782">
  <si>
    <t>No.</t>
  </si>
  <si>
    <t>Reference</t>
  </si>
  <si>
    <t>Admin</t>
  </si>
  <si>
    <t>Illicit Discharge Detection and Elimination Requirement</t>
  </si>
  <si>
    <t>2.3.4.3</t>
  </si>
  <si>
    <t>2.3.4.4 b</t>
  </si>
  <si>
    <t>2.3.4.4 c</t>
  </si>
  <si>
    <t>2.3.4.5</t>
  </si>
  <si>
    <t>2.3.4.5 b</t>
  </si>
  <si>
    <t>2.3.4.5 c</t>
  </si>
  <si>
    <t>2.3.4.6</t>
  </si>
  <si>
    <t>2.3.4.6 a i</t>
  </si>
  <si>
    <t>2.3.4.6 a ii</t>
  </si>
  <si>
    <t>2.3.4.6 a iii</t>
  </si>
  <si>
    <t>2.3.4.6 b</t>
  </si>
  <si>
    <t>2.3.4.6 c</t>
  </si>
  <si>
    <t>2.3.4.7</t>
  </si>
  <si>
    <t>2.3.4.7 a</t>
  </si>
  <si>
    <t>2.3.4.7 b</t>
  </si>
  <si>
    <t>2.3.4.7 c  i</t>
  </si>
  <si>
    <t>2.3.4.7 c iii</t>
  </si>
  <si>
    <t>2.3.4.7 d</t>
  </si>
  <si>
    <t>2.3.4.7 d v</t>
  </si>
  <si>
    <t>2.3.4.7 e</t>
  </si>
  <si>
    <t>2.3.4.7 e i</t>
  </si>
  <si>
    <t>2.3.4.7 f</t>
  </si>
  <si>
    <t>2.3.4.7 g</t>
  </si>
  <si>
    <t>*In a minimum of 80% of the MS4 area serviced by Problem Catchments within 3 years and 100% within 5 years</t>
  </si>
  <si>
    <t>2.3.4.8 c i</t>
  </si>
  <si>
    <t>*For all catchments where  sampling indicates sewer input within 5 years </t>
  </si>
  <si>
    <t>2.3.4.8 c ii</t>
  </si>
  <si>
    <t>*In 40% of all area served by  all MS4 catchments within 5 years and in 100% of 4 area in 10 years</t>
  </si>
  <si>
    <t>2.3.4.8 c iii</t>
  </si>
  <si>
    <t>2.3.4.9</t>
  </si>
  <si>
    <t>2.3.4.10</t>
  </si>
  <si>
    <t>Construction Site Runoff Control Requirement</t>
  </si>
  <si>
    <t>2.3.5 c</t>
  </si>
  <si>
    <t>2.3.5 c i</t>
  </si>
  <si>
    <t>2.3.5 c ii</t>
  </si>
  <si>
    <t>2.3.5 c v</t>
  </si>
  <si>
    <t>Post Construction Site Runoff Control Requirement</t>
  </si>
  <si>
    <t>2.3.6 a ii</t>
  </si>
  <si>
    <t>2.3.6 a iii</t>
  </si>
  <si>
    <t>2.3.6 b</t>
  </si>
  <si>
    <t>2.3.6 c</t>
  </si>
  <si>
    <t>2.3.6 d iii</t>
  </si>
  <si>
    <t>Miscellaneous Requirement</t>
  </si>
  <si>
    <t>1.9.1</t>
  </si>
  <si>
    <t>1.9.2</t>
  </si>
  <si>
    <t>Type of Action</t>
  </si>
  <si>
    <t>1.7.2</t>
  </si>
  <si>
    <t>90 days</t>
  </si>
  <si>
    <t>Time from Effective Date</t>
  </si>
  <si>
    <t>Prepare and Submit NOI</t>
  </si>
  <si>
    <t>Appendix C. B.1. Step 1</t>
  </si>
  <si>
    <t>Appendix C. B.1. Step 2</t>
  </si>
  <si>
    <t>Step 1 - Complete Information, Planning and Conservation (IPaC) online system process to determine if federally listed species or designated critical habitats are present in the area. If not present (i.e., meet Criterion A), skip to Step 4, otherwise go to Step 2.</t>
  </si>
  <si>
    <t>Appendix C. B.1. Step 3</t>
  </si>
  <si>
    <t xml:space="preserve">Step 2A - Review potential impacts of discharges to species/habitats to determine if your discharges have "no affect", "may affect" or are "not likely to adversely affect" species/habitat. If you determine "may affect" or "not likely to adversely affect", go to Step 2B, otherwise go to Step 3. </t>
  </si>
  <si>
    <t>Step 3 - If you determined there would be "no affect" on listed species, contact EPA to obtain concurrence with that determination. If they concur, agree to conduct an endangered species screening for proposed structural BMPs and contact USFWS as appropriate (e.g., new activity "may affect" or is "not likely to adversely affect"). If these conditions are met, you meet Criterion C and go to Step 4. Any other scenarios are not eligible for coverage under the MS4.</t>
  </si>
  <si>
    <t>Step 4 - Include documentation of USFWS ESA eligibility in the SWMP.</t>
  </si>
  <si>
    <t>Appendix C. B.1. Step 4</t>
  </si>
  <si>
    <t>Technical</t>
  </si>
  <si>
    <t>Document Historic Properties Preservation</t>
  </si>
  <si>
    <t>Document Endangered Species</t>
  </si>
  <si>
    <t>Appendix D, Screening Process, Question 1</t>
  </si>
  <si>
    <t>Q1 - If the facility is an existing facility authorized by the previous permit or a new facility not undertaking any activity involving subsurface land disturbance less than an acre, then certify that fact in writing and file the statement with the EPA, otherwise go to Q2.</t>
  </si>
  <si>
    <t>Appendix D, Screening Process, Question 2</t>
  </si>
  <si>
    <t>Q2A - Review National Register of Historic Places. If no properties listed, or discharges do not have the potential to cause effects on historic properties, then certify that fact in writing and file the statement with the EPA, otherwise go to Q2B.</t>
  </si>
  <si>
    <t>Q2B - Initiate request for project review by SHPO - prepare Completed Project Notification Form, USGS map with area of concern, Scaled project plans showing existing and proposed conditions, photos where available. Include description of measures/conditions to be taken to avoid or minimize adverse impacts where applicable.</t>
  </si>
  <si>
    <t>1.1.1</t>
  </si>
  <si>
    <t>1.1.2</t>
  </si>
  <si>
    <t>1.1.3</t>
  </si>
  <si>
    <t>1.1.4</t>
  </si>
  <si>
    <t>1.2.1</t>
  </si>
  <si>
    <t>1.2.2</t>
  </si>
  <si>
    <t>1.1.5</t>
  </si>
  <si>
    <t>1.2.3</t>
  </si>
  <si>
    <t>Notes</t>
  </si>
  <si>
    <t>1 year</t>
  </si>
  <si>
    <t>Ongoing</t>
  </si>
  <si>
    <t>One-time</t>
  </si>
  <si>
    <t>Intermittent</t>
  </si>
  <si>
    <t>Annual</t>
  </si>
  <si>
    <t>2.3.4.4</t>
  </si>
  <si>
    <t>120 days</t>
  </si>
  <si>
    <t>Identify and develop inventory of all known locations where SSOs have discharged to the MS4 in last 5 years. Include location, discharge to surface water or MS4, dates &amp; time of each known SSO occurrence, volume, description of occurrence including cause, completed &amp; planned mitigation &amp; corrective measures with dates.</t>
  </si>
  <si>
    <t>Update inventory annually and report in annual report.</t>
  </si>
  <si>
    <t>Develop Outfall Interconnection Inventory</t>
  </si>
  <si>
    <t>Inventory Sanitary Sewer Overflows</t>
  </si>
  <si>
    <t>Permit Deliverable</t>
  </si>
  <si>
    <t>x</t>
  </si>
  <si>
    <t>Update inventory annually to include data collected from monitoring program.</t>
  </si>
  <si>
    <t>5 years</t>
  </si>
  <si>
    <t>System Mapping</t>
  </si>
  <si>
    <t>Physically label all MS4 outfall pipes.</t>
  </si>
  <si>
    <t xml:space="preserve">Delineate catchment areas for each MS4 outfall or interconnection. </t>
  </si>
  <si>
    <t>2 years</t>
  </si>
  <si>
    <t xml:space="preserve">Where available, include municipal sanitary sewer system &amp; municipal combined sewer system. </t>
  </si>
  <si>
    <t>Not Required</t>
  </si>
  <si>
    <t>Recommended mapping elements - storm sewer material, size &amp; age; sanitary sewer system material, size &amp; age; properties served by septic (when sewer &amp; septic exist); areas where MS4 could receive flow from septic systems (e.g., areas with poor soils, or high groundwater elevations); seasonal high water table elevation impacting sanitary alignments; topography; orthophotography; alignments; locations of illicit discharges</t>
  </si>
  <si>
    <t>Not Required so No Cost</t>
  </si>
  <si>
    <t>2.3.4.6 a i &amp; 2.3.4.6 b</t>
  </si>
  <si>
    <t>Develop a revised map of system showing outfalls &amp; receiving waters (required by MS4 2003 permit), pipes, open channel conveyances, catch basins, manholes, interconnections, municipally-owned structure BMPs, and receiving waters by name (include indication of all impairments from 303(d) and 305(b) list). Map can be produced by hand or computer-aided methods.</t>
  </si>
  <si>
    <t>Report on progress of map in annual report.</t>
  </si>
  <si>
    <t>Written IDDE Program</t>
  </si>
  <si>
    <t>Update mapping as necessary to reflect newly discovered information &amp; required corrections or modifications.</t>
  </si>
  <si>
    <t>Admin/Tech</t>
  </si>
  <si>
    <t>Required by 2003 Permit</t>
  </si>
  <si>
    <t>Develop and adopt a regulatory mechanism providing legal authority to municipality to regulate illicit discharges.</t>
  </si>
  <si>
    <t>Assess and classify each catchment into one of 4 possible categories (Excluded, Problem, High Priority, Low Priority)</t>
  </si>
  <si>
    <t>Priority rank each catchment within each category (except those "excluded") using 8 factors (past complaints, poor dry weather receiving water quality, density of generating sites (e.g., car dealers, car washes, gas stations, garden centers, industrial, manufacturing), age of surrounding development &amp; infrastructure, sewer conversion, historic combined sewer, density of aging septic systems, culverted streams. May also consider drinking water supplies, shell fishing areas, beaches or recreation waters, impaired waters.</t>
  </si>
  <si>
    <t>Outfall and Interconnection Screening and Sampling</t>
  </si>
  <si>
    <t>Develop written procedure for screening and sampling of outfalls - include sample collection, use of field kits, storage and conveyance of samples. Adopt a screening and sampling protocol consistent with EPA New England Bacterial Source Tracking Protocol (Draft 2012) (Appendix I).</t>
  </si>
  <si>
    <t>Catchment Investigation Procedure</t>
  </si>
  <si>
    <t>2.3.4.7 d i &amp; ii</t>
  </si>
  <si>
    <t>2.3.4.7 c  ii &amp; iii</t>
  </si>
  <si>
    <t>Document and annually report presence or absence of the 12 System Vulnerability Factors for each catchment.</t>
  </si>
  <si>
    <t>Perform wet weather screening for outfalls with identified System Vulnerability Factors.</t>
  </si>
  <si>
    <t>Perform dry weather investigation of key junction manholes by opening and inspecting for visual and olfactory evidence of illicit connections.</t>
  </si>
  <si>
    <t>2.3.4.7 d iv &amp; 2.3.4.7 ii b</t>
  </si>
  <si>
    <t>Perform wet weather screening for outfalls with identified System Vulnerability Factors. Sample for same parameters as dry weather flows.</t>
  </si>
  <si>
    <t>Removal and Confirmation</t>
  </si>
  <si>
    <t>Follow-up Screening</t>
  </si>
  <si>
    <t>Assessment &amp; Priority Ranking of Catchments</t>
  </si>
  <si>
    <t>Written IDDE Plan</t>
  </si>
  <si>
    <t>3 years</t>
  </si>
  <si>
    <t xml:space="preserve">Develop written IDDE plan documenting SSOs, outfall/interconnection inventory, statement of program responsibilities, prioritization, outfall screening, catchment investigation procedures, procedures to isolate and verify sources, procedures for removal and confirmation, procedures and schedule for follow-up screening and illicit discharge/SSO prevention procedures. </t>
  </si>
  <si>
    <t>2.3.4.2 a</t>
  </si>
  <si>
    <t>Upon detection of an illicit discharge, identify and notify all responsible parties and require immediate cessation. Should be eliminated within 60 days of identification, or if longer, a schedule developed and report dates of identification and schedules for removal in the permittee's annual reports.</t>
  </si>
  <si>
    <t>2.3.4.7 d iii &amp; 2.3.4.8 a</t>
  </si>
  <si>
    <t>Develop written Catchment Investigation Procedure including review of maps and historic records; a manhole inspection methodology; and procedures to isolate and confirm sources of illicit discharges. Include in written IDDE Plan.</t>
  </si>
  <si>
    <t>1 year initial, update annually</t>
  </si>
  <si>
    <t>2.3.4.7 e ii a &amp; 2.3.4.8 c i,ii,iii</t>
  </si>
  <si>
    <t>For each confirmed illicit discharge or SSO, include in the annual report the location of the discharge and its source, a description of the discharge, method and date of discovery, date of elimination, mitigation or enforcement action, and estimate volume removed.</t>
  </si>
  <si>
    <t>Track progress of Catchment Investigations in each annual report.</t>
  </si>
  <si>
    <t>Frequency</t>
  </si>
  <si>
    <t>1 year from removal</t>
  </si>
  <si>
    <t>Perform dry weather screening of every outfall (if inaccessible, proceed to first accessible upstream structure) when and how prescribed; identify in annual report any follow-up needed. Begin investigations within 15 months of effective date.</t>
  </si>
  <si>
    <t>Within one year of illicit discharge removal, perform confirmatory screening; wet (if System Vulnerability Factors present), dry or both.</t>
  </si>
  <si>
    <t>10 years</t>
  </si>
  <si>
    <t>One-time cost spread over a 10-year period</t>
  </si>
  <si>
    <t>Define or describe indicators for tracking program success. Should include measures that demonstrate efforts to locate illicit discharges, the number of SSOs and illicit discharges identified and removed, the percent and area in acres of the catchment area served by the MS4 evaluated using the catchment investigation procedure, and volume of sewage removed. Include in IDDE Plan.</t>
  </si>
  <si>
    <t>Provide annual training to employees involved in IDDE program.</t>
  </si>
  <si>
    <t>Include type and frequency of training in the annual report.</t>
  </si>
  <si>
    <t>Training</t>
  </si>
  <si>
    <t xml:space="preserve">5 years after catchment investigation </t>
  </si>
  <si>
    <t>4.2.1</t>
  </si>
  <si>
    <t>4.2.2</t>
  </si>
  <si>
    <t>4.2.3</t>
  </si>
  <si>
    <t>4.3.4</t>
  </si>
  <si>
    <t>4.3.1</t>
  </si>
  <si>
    <t>4.3.2</t>
  </si>
  <si>
    <t>4.3.3</t>
  </si>
  <si>
    <t>4.3.5</t>
  </si>
  <si>
    <t>4.4.1</t>
  </si>
  <si>
    <t>4.4.2</t>
  </si>
  <si>
    <t>4.4.3</t>
  </si>
  <si>
    <t>4.4.4</t>
  </si>
  <si>
    <t>4.4.5</t>
  </si>
  <si>
    <t>4.4.6</t>
  </si>
  <si>
    <t>4.4.7</t>
  </si>
  <si>
    <t>4.5.1</t>
  </si>
  <si>
    <t>4.5.2</t>
  </si>
  <si>
    <t>4.5.3</t>
  </si>
  <si>
    <t>4.5.4</t>
  </si>
  <si>
    <t>4.6.1</t>
  </si>
  <si>
    <t>4.6.2</t>
  </si>
  <si>
    <t>4.8.1</t>
  </si>
  <si>
    <t>4.8.2</t>
  </si>
  <si>
    <t>Maint</t>
  </si>
  <si>
    <t>Tech</t>
  </si>
  <si>
    <t>One-time with annual upkeep</t>
  </si>
  <si>
    <t>2.3.4.7 d iv &amp; 2.3.4.7 e ii b</t>
  </si>
  <si>
    <t>see dry &amp; wet weather screening schedules</t>
  </si>
  <si>
    <t>Sample dry and wet weather flows for ammonia, chlorine, conductivity, salinity, E.coli (freshwater) or enterococcus (saline or brackish), surfactants, and temperature. All analyses with the exception of indicator bacteria can be performed with field test kits or field instrumentation.</t>
  </si>
  <si>
    <t>One-time cost spread over a 3-year period</t>
  </si>
  <si>
    <t>see wet weather screening schedule</t>
  </si>
  <si>
    <t>see catchment investigation schedule</t>
  </si>
  <si>
    <t>Implement measures to control non-stormwater discharges if they add significant pollution.</t>
  </si>
  <si>
    <t>Upon completion of catchment investigations and illicit discharge removal and confirmation (if necessary), the catchment outfall or interconnection shall be scheduled for follow-up screening within five years.</t>
  </si>
  <si>
    <t>4.7.1</t>
  </si>
  <si>
    <t>Develop and implement a construction site runoff program.</t>
  </si>
  <si>
    <t>Develop an ordinance that requires sediment and erosions controls and for other wastes at construction sites. This was required by 2003 MS4 Permit.</t>
  </si>
  <si>
    <t>Adopt written procedures for inspections and enforcement of the ordinance.  Clearly define who is responsible for site inspections and who has authority to implement enforcement procedures. Document in SWMP.</t>
  </si>
  <si>
    <t>Update ordinance/bylaw to include requirements for site operators to implement BMPs (e.g., reduce disturbed area, protect slopes, etc.) and to control other wastes, if not already included.</t>
  </si>
  <si>
    <t>2.3.5 c iii &amp; iv</t>
  </si>
  <si>
    <t>Include tracking information as part of each annual report.</t>
  </si>
  <si>
    <t>Admin/ Tech/Legal</t>
  </si>
  <si>
    <t>Admin/ Tech</t>
  </si>
  <si>
    <t>Annual report shall include measures that the permittee has done to meet these requirements.</t>
  </si>
  <si>
    <t>Update Ordinance or Bylaw</t>
  </si>
  <si>
    <t>Assess Street Design and parking Lot Guidelines</t>
  </si>
  <si>
    <t>Develop report assessing local regulations that affect the creation of impervious cover. Include recommendations and proposed schedules to incorporate into regulations. Involve local planning board and local transportation board.  Include in SWMP.</t>
  </si>
  <si>
    <t>Annual report shall contain an update on this requirement, including any planned or completed changes.</t>
  </si>
  <si>
    <t>Directly Connected Impervious Area</t>
  </si>
  <si>
    <t>2.3.6 d &amp; 2.3.6 d i &amp; ii</t>
  </si>
  <si>
    <t>4 years</t>
  </si>
  <si>
    <t>Complete inventory and ranking of Municipal property (including ROWs) suitable for modification or retrofit to reduce runoff/pollutants from MS4. Perform screening level of ranking considering access, geology, depth to water table, proximity to aquifers &amp; subsurface infrastructure, opportunities for public use and education, schedules for planned capital improvements to municipal infrastructure.</t>
  </si>
  <si>
    <t>Starting with fifth year annual report, report on status of all such inventoried properties.</t>
  </si>
  <si>
    <t>2.3.6 d iv</t>
  </si>
  <si>
    <t>Beginning fifth year</t>
  </si>
  <si>
    <t>Perform follow-up sampling to identify source if outfall sample comes back dirty.</t>
  </si>
  <si>
    <t xml:space="preserve">In each annual report list the total number of catch basins, number inspected and/or cleaned, and the volume or mass of material removed from each catch basin draining to water quality limited waters and the total volume or mass of material removed from all catch basins. </t>
  </si>
  <si>
    <t>Street Sweeping</t>
  </si>
  <si>
    <t>Report in the annual report on the status of all O&amp;M activities.</t>
  </si>
  <si>
    <t>2.1.1</t>
  </si>
  <si>
    <t>2.1.2</t>
  </si>
  <si>
    <t>Complete NOI Form</t>
  </si>
  <si>
    <t>Provide information on status of mapping and bylaws completed under 2003 permit.</t>
  </si>
  <si>
    <t>Appendix E</t>
  </si>
  <si>
    <t>Provide summary of receiving waters - waterbody segment that receives flow from the MS4, number of outfalls into receiving water, impairment, pollutants causing impairment, whether there is a TMDL.</t>
  </si>
  <si>
    <t>Identify new BMPs and goals to meet new permit.</t>
  </si>
  <si>
    <t>1.3.1</t>
  </si>
  <si>
    <t>1.3.2</t>
  </si>
  <si>
    <t>1.3.3</t>
  </si>
  <si>
    <t>Document program in annual report: messages for each audience; method of distribution; measures/methods used to assess effectiveness of message; measures/methods to assess effectiveness.</t>
  </si>
  <si>
    <t>1.10.a &amp; 1.10.2</t>
  </si>
  <si>
    <t>Cost Options</t>
  </si>
  <si>
    <t>Municipality Size (e.g., small, medium, large based on population)</t>
  </si>
  <si>
    <t>Miles of Roadway in UA</t>
  </si>
  <si>
    <t>Number of Catch Basins in UA</t>
  </si>
  <si>
    <t>Number of Outfalls in UA</t>
  </si>
  <si>
    <t>Potential Application</t>
  </si>
  <si>
    <t>Number of Municipal Facilities</t>
  </si>
  <si>
    <t>Number of Town-owned BMPs</t>
  </si>
  <si>
    <t>Could cost for a smaller community and then apply a multiplier for the larger communities.</t>
  </si>
  <si>
    <t>O&amp;M Plan for BMP maintenance</t>
  </si>
  <si>
    <t>Number of Municipal Facilities with Stormwater Exposure</t>
  </si>
  <si>
    <t>SWPPPs</t>
  </si>
  <si>
    <t>Number of non-TMDL nitrogen impaired waters</t>
  </si>
  <si>
    <t>Number of non-TMDL phosphorus impaired waters</t>
  </si>
  <si>
    <t>Dry weather screening, wet weather screening (with assumptions on number with vulnerability factors)</t>
  </si>
  <si>
    <t>Nitrogen Plan</t>
  </si>
  <si>
    <t>Phosphorus Plan</t>
  </si>
  <si>
    <t>Catchment investigations, mapping, CB cleaning (with assumptions or just provide a per CB cost)</t>
  </si>
  <si>
    <t>O&amp;M Plans, Retrofit Prioritization</t>
  </si>
  <si>
    <t>NOI, SWMP, Public Education, Regulatory reviews &amp; updates</t>
  </si>
  <si>
    <t>Update assessment &amp; priority ranking annually based on results of screening and new information and include in annual report. Include listing of all catchments and results of ranking, summary of evidence of known or suspected illicit discharges and SSOs by catchment, corrective measures taken or planned, schedule for completing and verifying measures correcting the confirmed illicit discharges and SSOs.</t>
  </si>
  <si>
    <t>Estimate the annual increase or decrease in Impervious Area and Directly Connected Impervious Area using EPA initial estimates of IA and DCIA as baseline. Tabulate results by delineated catchment areas and break out by development, redevelopment, or retrofit projects by permittee; or by private developers and other parties in a voluntary manner or in compliance with the permittee's regulations. Include in annual report.</t>
  </si>
  <si>
    <t>Discharges to Surface Drinking Water Supplies and Their Tributaries</t>
  </si>
  <si>
    <t>Consider discharges to public surface drinking water supply sources a priority.</t>
  </si>
  <si>
    <t>3.0.a</t>
  </si>
  <si>
    <t>3.0.b</t>
  </si>
  <si>
    <t>Provide pretreatment and spill control measures to stormwater discharges to public drinking water supply sources or their tributaries to the extent feasible.</t>
  </si>
  <si>
    <t>3.0.c</t>
  </si>
  <si>
    <t>Avoid direct discharges to Class A waters to the extent feasible.</t>
  </si>
  <si>
    <t>Self-evaluate compliance with the terms and conditions of the permit including appropriateness of selected BMPs.</t>
  </si>
  <si>
    <t>4.1.a &amp; b</t>
  </si>
  <si>
    <t>Keep records for 5 years.</t>
  </si>
  <si>
    <t>Make records relating to the permit available to the public.</t>
  </si>
  <si>
    <t>4.2.a</t>
  </si>
  <si>
    <t>4.2.c</t>
  </si>
  <si>
    <t>2.3.4.8 a &amp; 4.3.b</t>
  </si>
  <si>
    <t>Report screening data annually; identify any follow-up needed. Include date, outfall ID, location, weather conditions, precipitation in previous 48 hours, field screening parameter results, and results of all analyses.</t>
  </si>
  <si>
    <t>Annually</t>
  </si>
  <si>
    <t>In annual report, include results from any other stormwater or receiving water quality monitoring or studies conducted during the reporting period.</t>
  </si>
  <si>
    <t>4.3.c</t>
  </si>
  <si>
    <t>Annual Reports</t>
  </si>
  <si>
    <t>Additional specific items required are covered throughout each minimum measure.</t>
  </si>
  <si>
    <t>Submit annual reports including self-assessment review, appropriateness of BMPs, status of impaired waters compliance, items outlined in each of the minimum measures.</t>
  </si>
  <si>
    <t>Step 2B - Contact USFWS for consultation and opinion. If opinion is "no jeopardy" or you receive concurrence that discharges are "not likely to adversely affect", and you agree to implement all measures upon which the consultation was conditioned and you agree to re-initiate consultation with USFWS as necessary, skip to Step 4, otherwise go to Step 3.</t>
  </si>
  <si>
    <t>Review sanitary sewer and storm sewer construction plans for each catchment. Identify and record the presence  of System Vulnerability Factors: history of SSOs; areas that could readily result in SSOs; inadequate sanitary sewer level of service; common or twin-invert manholes serving storm &amp; sanitary alignments; common trench construction serving both storm &amp; sanitary; crossing of storm &amp; sanitary; sanitary sewer with possible underdrain; sanitary sewer defects areas formerly served by combined sewer; sanitary sewer &amp; storm drain infrastructure greater than 40 years old in medium and densely developed areas; widespread code-required septic upgrades; history of BOH actions addressing widespread septic failures. Include in IDDE Plan.</t>
  </si>
  <si>
    <t>Sample dry flows at key junction manholes for ammonia, chlorine, conductivity, salinity, E.coli (freshwater) or enterococcus (saline or brackish), surfactants, and temperature. All analyses with the exception of indicator bacteria can be performed with field test kits or field instrumentation.</t>
  </si>
  <si>
    <t>Provide oral notice to EPA within 24 hours upon becoming aware of an SSO to the MS4. Provide written notice to EPA &amp; MassDEP within 5 days, include inventory information.</t>
  </si>
  <si>
    <t>Identify each outfall &amp; interconnection discharging from MS4, record location &amp; condition. Include: unique identifier, receiving water, date of most recent inspection, dimensions, shape, material, lat/long, physical condition &amp; indicators of non-stormwater discharges.</t>
  </si>
  <si>
    <t>Develop written procedures for site plan review and inspection and enforcement within 1 year, if not already completed. Include pre-construction review, consideration for protection of water quality impacts, LID components, receipt of information from the public, inspections during and after BMP installation, qualifications necessary to perform the inspections, inspection forms and procedures for tracking the number of site reviews, inspections, and enforcement actions.</t>
  </si>
  <si>
    <t xml:space="preserve">Develop report assessing local regulations to determine feasibility of making green roofs, infiltration practices and water harvesting devices allowable. Include recommendations and proposed schedules to incorporate into regulations. </t>
  </si>
  <si>
    <t>Develop procedures to ensure O&amp;M, such as dedicated funds or escrow accounts, acceptance of ownership by permittee, development of maintenance contracts between owner &amp; permittee, submission of an annual certification documenting maintenance.</t>
  </si>
  <si>
    <t>One-time cost, but could be spread over multiple years. To the extent feasible offers some flexibility.</t>
  </si>
  <si>
    <t>10th percentile</t>
  </si>
  <si>
    <t>50th percentile</t>
  </si>
  <si>
    <t>90th percentile</t>
  </si>
  <si>
    <t>Population</t>
  </si>
  <si>
    <t>Population in Regulated Area</t>
  </si>
  <si>
    <t>Total Area (acres)</t>
  </si>
  <si>
    <t>Total IA (Area)</t>
  </si>
  <si>
    <t># Outfalls</t>
  </si>
  <si>
    <t># Catch Basins (10 per outfall)</t>
  </si>
  <si>
    <t>Option 1: # Key Junction Manholes (20% of CBs)</t>
  </si>
  <si>
    <t>Option 2: # Key Junction Manholes (3 per outfall)</t>
  </si>
  <si>
    <t>Range in # Key Junction Manholes</t>
  </si>
  <si>
    <t>50 - 75</t>
  </si>
  <si>
    <t>400 - 600</t>
  </si>
  <si>
    <t>1,000 - 1,500</t>
  </si>
  <si>
    <t>% of structures requiring cleaning (50% full)</t>
  </si>
  <si>
    <t># of structures requiring cleaning (50% full)</t>
  </si>
  <si>
    <t>% of outfalls flowing under dry weather conditions</t>
  </si>
  <si>
    <t># of outfalls flowing under dry weather conditions</t>
  </si>
  <si>
    <t># of catchment areas with system Vulnerability Factors for wet weather sampling (25%)</t>
  </si>
  <si>
    <t># of catchment areas with system Vulnerability Factors for wet weather sampling (75%)</t>
  </si>
  <si>
    <t>Miles of roadway for sweeping (RM x 2)</t>
  </si>
  <si>
    <t># of community-owned stormwater BMPs</t>
  </si>
  <si>
    <t># of permittee-owned facilities for evaluating BMP options and for  O &amp; M where there is exposure to stormwater</t>
  </si>
  <si>
    <t>Hours</t>
  </si>
  <si>
    <t>-</t>
  </si>
  <si>
    <t>Supporting Documentation</t>
  </si>
  <si>
    <t>General Notes</t>
  </si>
  <si>
    <t>Reese:  $100,000 to work on major policy changes in land use regulations.</t>
  </si>
  <si>
    <t>Number of Years</t>
  </si>
  <si>
    <t>Prepare and Submit SWMP Plan</t>
  </si>
  <si>
    <t>Assume 2 hours to incorporate results into written SWMP Plan.</t>
  </si>
  <si>
    <t>Haverhill MA:  $7,200 to prepare all NOI PAIs.</t>
  </si>
  <si>
    <t>Performed under other annual report items.</t>
  </si>
  <si>
    <t>Combined with PAI 1.4.</t>
  </si>
  <si>
    <t>Required under 2003 Permit and should already be implemented.</t>
  </si>
  <si>
    <t>Haverhill MA:  total cost of $14,400.</t>
  </si>
  <si>
    <t>Haverhill MA:  total cost of $7,200, combined with 3.1.</t>
  </si>
  <si>
    <t>Haverhill MA:  total cost of $7,200, combined with 2.1.</t>
  </si>
  <si>
    <t>Per EPA, removed from permit.</t>
  </si>
  <si>
    <t>Haverhill MA:  costs of $4,800 for inventory only.</t>
  </si>
  <si>
    <t>Public Education and Public Participation</t>
  </si>
  <si>
    <t>Report Public Involvement and Public Participation activities in annual report.</t>
  </si>
  <si>
    <t>IDDE</t>
  </si>
  <si>
    <t>Update SSO inventory annually and report in annual report.</t>
  </si>
  <si>
    <t>Update Outfall Interconnection Survey inventory annually to include data collected from monitoring program.</t>
  </si>
  <si>
    <t>Report on progress of Storm System map in annual report.</t>
  </si>
  <si>
    <t>Construction Site Control</t>
  </si>
  <si>
    <t>Post Construction Site Control</t>
  </si>
  <si>
    <t>Annual report shall include measures that the permittee has done to meet ordinance update requirements.</t>
  </si>
  <si>
    <t>Annual report shall contain an update on this requirement (Assess Street and Parking Lot Designs), including any planned or completed changes.</t>
  </si>
  <si>
    <t>Annual report shall contain an update on this requirement (Assess Local Regulations for LID), including any planned or completed changes.</t>
  </si>
  <si>
    <t>Starting with fifth year annual report, report on status of all Permittee-owned inventoried properties.</t>
  </si>
  <si>
    <t>Good Housekeeping</t>
  </si>
  <si>
    <t>Each annual report shall include number of road miles cleaned and volume or mass of material removed.</t>
  </si>
  <si>
    <t>Report the findings from the SWPPP Site inspections in the annual report.</t>
  </si>
  <si>
    <t>all</t>
  </si>
  <si>
    <t>Inventory and Rank Municipal Properties</t>
  </si>
  <si>
    <t>LID Regulations and Guidelines</t>
  </si>
  <si>
    <t>See Annual Report cost breakdown</t>
  </si>
  <si>
    <t>1.4a</t>
  </si>
  <si>
    <t>1.4b</t>
  </si>
  <si>
    <t>Construction site inspections</t>
  </si>
  <si>
    <t>Pre-construction peer reviews</t>
  </si>
  <si>
    <t>Holyoke:  $17,000 for 75 outfalls.</t>
  </si>
  <si>
    <t>Haverhill:  $4,200.</t>
  </si>
  <si>
    <t>Total Cost</t>
  </si>
  <si>
    <t>Sample Analysis Cost (per sample - bacteria, ammonia, chlorine, salinity, surfactants)</t>
  </si>
  <si>
    <t>Sample Analysis Multi-Meter (conductivity and temperature)</t>
  </si>
  <si>
    <t>Additional Fixed Cost</t>
  </si>
  <si>
    <t>Low</t>
  </si>
  <si>
    <t>High</t>
  </si>
  <si>
    <t>Most communities should know where their SSOs are located. Assume 24 hours for a consultant to compile existing SSO information and prepare a map.  Note for many communities, this will be zero.</t>
  </si>
  <si>
    <t>May not be required at all.  Community dependent.  Assume 4 hours for correspondence and brief letter report.   Assume 1 notification per year over length of permit term.</t>
  </si>
  <si>
    <t>Removed from permit.</t>
  </si>
  <si>
    <t xml:space="preserve">Assumed number of catchment areas, same number as outfalls.  Assume delineation of 20 outfalls per day in GIS. </t>
  </si>
  <si>
    <t>Not required to map these from scratch, just include what it already mapped.  Assume 0 for communities with nothing in GIS, minimal cost to overlay existing GIS layers with MS4 info.</t>
  </si>
  <si>
    <t>Included in 4.3.2 and 4.3.3.</t>
  </si>
  <si>
    <t>Costs included in other tasks.</t>
  </si>
  <si>
    <t>Costs under PAI 4.3.1</t>
  </si>
  <si>
    <t>Included in 4.3.3.</t>
  </si>
  <si>
    <t>CWP IDDE Manual:  average $2,500 cost per correction, plus additional $500 per investigation</t>
  </si>
  <si>
    <t>Most likely will be zero.  Some communities may have a minimal cost.</t>
  </si>
  <si>
    <t>Likely minimal effort.  Assume 2 hours per year to include in annual report.</t>
  </si>
  <si>
    <t>Minimal cost, if any.  Many communities will be zero, and those with SSOs will only be a couple hours.</t>
  </si>
  <si>
    <t>Assume 8 hours to update a database annually.</t>
  </si>
  <si>
    <t xml:space="preserve">CWP IDDE Manual - $9k-$21.2k per 80 samples for analysis only. Low assumes in-house analysis for Flow Chart Method  &amp; high assumes contracted lab analysis of 11 parameters. CWP's inspection costs were based on miles of stream rather than number of outfalls. This equates to $112.5-$265 per sample or $2,250-$5,300 for 20 samples. 
Haverhill:  $31,500 to inspect 150 outfalls and sample 30 outfalls.
Reese:  $12,000 assuming 240 hours of student volunteers to screen outfalls. </t>
  </si>
  <si>
    <t>Hours per Year</t>
  </si>
  <si>
    <t>Reese:  20 hours to adopt a generic ordinance for a town with 10,000 population. CWP IDDE Manual $1,000-$17,000.</t>
  </si>
  <si>
    <t>Costs included under PAI 4.3.1</t>
  </si>
  <si>
    <t>Assumed 10% would have dry weather flows (same assumption as flowing outfalls) and applied per sample costs, with purchase of meter covered under outfall screening and sampling.</t>
  </si>
  <si>
    <t>This is after the 5-year permit period so no cost carried. In future years, it should be equivalent to dry and wet weather catchment investigations under PAIs 4.3.2, 4.3.3, and 4.3.4.</t>
  </si>
  <si>
    <t>Total Cost Over 5-Year Permit Period</t>
  </si>
  <si>
    <t>Will be minimal. See Annual Report cost breakdown.</t>
  </si>
  <si>
    <t>CWP IDDE Manual - 1 week to 4 weeks to gather outfall mapping information; 20 (paper) to 40 (GIS) hours to produce map. So total of between 60 and 200 hours. Holyoke: $60,000 for 3,300 CBs &amp; MHs &amp; 75 outfalls. Haverhill: $60,000 for 150 outfalls, unknown number of CBs and MHs.</t>
  </si>
  <si>
    <t>Inventory will be compiled from combination of mapping and outfall screening performed under other PAIs, therefore no cost carried here.</t>
  </si>
  <si>
    <t>4.3.2.A</t>
  </si>
  <si>
    <t xml:space="preserve">Permit just says to find source and remove. Assume there will be some follow-up sampling to do this.  Assume a field crew of 2 people for 8 hours to investigate each incident, with up to 3 incidents per year. Assume an additional 5 samples per incident to help identify the source. </t>
  </si>
  <si>
    <t>TOTAL FOR FIVE YEARS</t>
  </si>
  <si>
    <t>Qty</t>
  </si>
  <si>
    <t>per sample</t>
  </si>
  <si>
    <t>bacteria</t>
  </si>
  <si>
    <t>Alpha Analytical, Westborough, MA - E. Coli Enumeration ($52), Enterococcus ($39); Chemserve, Milford, NH - E. Coli MPN ($27) Enterococcus ($27)</t>
  </si>
  <si>
    <t>ammonia, package of 30</t>
  </si>
  <si>
    <t>http://www.benmeadows.com/chemets-ammonia-water-test-kit_s_16806-1/</t>
  </si>
  <si>
    <t>chlorine and salinity, package of 50</t>
  </si>
  <si>
    <t>http://www.benmeadows.com/lamotte-chloride-salinity-test-kit-pkg-of-50-tests_s_221784/</t>
  </si>
  <si>
    <t>conductivity and temperature multimeter</t>
  </si>
  <si>
    <t>http://www.benmeadows.com/hanna-waterproof-portable-low-range-multiparameter-meter-_s_57565/</t>
  </si>
  <si>
    <t>surfactants kit and 20 tests</t>
  </si>
  <si>
    <t>http://www.chemetrics.com/Detergents+%28anionic+surfactants%2C+MBAS%29/Visual+Kits/K-9400</t>
  </si>
  <si>
    <t>surfactants refills 20 tests</t>
  </si>
  <si>
    <t>Consultant Rate</t>
  </si>
  <si>
    <t>Costs included under 2.1.</t>
  </si>
  <si>
    <t>Combine with Step 2B.</t>
  </si>
  <si>
    <t>Assume 4 hours to query online system and document in letter report.</t>
  </si>
  <si>
    <t xml:space="preserve">Not likely, however, assume 10 hours for phone conversation and brief letter report, follow-up correspondence and ultimate decision.  </t>
  </si>
  <si>
    <t>Assume 4 hours to prepare brief cover letter.  Note:  it is assumed that most facilities were authorized under the previous permit.</t>
  </si>
  <si>
    <t>Assume 4 hours to query National Register and document results in a brief letter report.</t>
  </si>
  <si>
    <t>Assume 8 hours for a consultant to prepare a PNF, USGS map and other information, and 8 hours to develop a list of conditions to avoid impacts.  Note:  Likely not required.</t>
  </si>
  <si>
    <t xml:space="preserve">Low </t>
  </si>
  <si>
    <t>Adopt or amend a local ordinance to control projects that disturb an acre or more. Incorporate design standards included in the permit.</t>
  </si>
  <si>
    <t>Low - Assume 8 hours for meeting with Town including meeting prep time, and 24 hours to review and provide recommendations on regulations.  Assume additional legal fees of $1,000. High - Increase meeting time to 16 hours and increase legal fees to $2,000.</t>
  </si>
  <si>
    <t>Low - Assume 8 hours for meeting with Town including meeting prep time, and 24 hours to review and provide recommendations on regulations.  Assume additional legal fees of $1,000. High - Increase meeting time to 8 hours and legal fees to $2,000.</t>
  </si>
  <si>
    <t>Low - Assume 40 hours to review regulations and draft report with recommendations, 16 hours to draft regulatory changes, 8 hours for meetings with Town. Include legal fees of $1,000. High - Assume 80 hours to review regulations and draft report with recommendations, 20 hours to draft regulatory changes, 16 hours for meetings with Town. Assume additional legal fees of $2,000. Includes PAI 2.1 and 3.1. (Bumped up the hours a bit because this may be done by someone at a higher rate).</t>
  </si>
  <si>
    <t>Public Education and Outreach Requirement</t>
  </si>
  <si>
    <t>Type of Material</t>
  </si>
  <si>
    <t>Annual - Ongoing</t>
  </si>
  <si>
    <t>Continue public education program required by 2003 permit.</t>
  </si>
  <si>
    <t>2.3.2 a</t>
  </si>
  <si>
    <t>Develop program - Define goals, express specific messages define audience for each message, identify parties responsible for implementation, identify methods to evaluate effectiveness of messages.</t>
  </si>
  <si>
    <t>Begin 1st year of permit</t>
  </si>
  <si>
    <t xml:space="preserve">Annual </t>
  </si>
  <si>
    <t>2.3.2 c</t>
  </si>
  <si>
    <t>Mailed Brochure</t>
  </si>
  <si>
    <t>Printed Flyer</t>
  </si>
  <si>
    <t>Website</t>
  </si>
  <si>
    <t>Workshops</t>
  </si>
  <si>
    <t>Review program and modify ineffective messages or distribution techniques.</t>
  </si>
  <si>
    <t>2.3.2 f</t>
  </si>
  <si>
    <t>2.3.2 g</t>
  </si>
  <si>
    <t>This will be covered by other requirements of the permit.</t>
  </si>
  <si>
    <t>Assume this is just a summary and modification where needed.</t>
  </si>
  <si>
    <t>WPI report estimate $10K-$20K for MA communities; CA cost survey estimated $28K-$350K annual cost for program</t>
  </si>
  <si>
    <t>WPI report estimate $8,820 to assess effectiveness of program (annual).</t>
  </si>
  <si>
    <t>Public Involvement and Participation Requirement</t>
  </si>
  <si>
    <t>Comply with state public Notice requirements. Make SWMP &amp; annual reports available to public.</t>
  </si>
  <si>
    <t>2.3.3 a</t>
  </si>
  <si>
    <t>Provide annual opportunity for public to participate in review and implementation of SWMP. May include websites, hotlines, clean-up teams, monitoring teams, advisory committee.</t>
  </si>
  <si>
    <t>2.3.3 b</t>
  </si>
  <si>
    <t>Report activities in annual report.</t>
  </si>
  <si>
    <t>2.3.3 c</t>
  </si>
  <si>
    <t>Assume most municipalities will use current town forums including town meetings and updating websites.</t>
  </si>
  <si>
    <t>Weston and Sampson cost estimate for Merrimack Valley Planning Commission $500-$5K annual</t>
  </si>
  <si>
    <t>Pollution Prevention and Good Housekeeping Requirement</t>
  </si>
  <si>
    <t>Develop Facility O&amp;M Procedures</t>
  </si>
  <si>
    <t>Develop an inventory of all permittee owned facilities within the following categories: parks &amp; open space, buildings &amp; facilities, vehicles &amp; equipment.</t>
  </si>
  <si>
    <t>2.3.7 a ii</t>
  </si>
  <si>
    <t>Develop or update written O&amp;M procedures for listed municipal facilities. </t>
  </si>
  <si>
    <t>2.3.7 a i</t>
  </si>
  <si>
    <t>Develop template and general procedures for all facilities (8 hours); develop procedures for all listed facilities (each facility = 4 hours)</t>
  </si>
  <si>
    <t>Review inventory annually and update as necessary.</t>
  </si>
  <si>
    <t>Develop Infrastructure O&amp;M Procedures</t>
  </si>
  <si>
    <t>Catch Basin Cleaning</t>
  </si>
  <si>
    <t>One-time - updated as needed</t>
  </si>
  <si>
    <t>Develop a written optimization plan detailing procedures and schedule for cleaning and maintaining catch basins to ensure no catch basin is more than 50% full. Include inspection and maintenance prioritization.</t>
  </si>
  <si>
    <t>2.3.7 a iii b</t>
  </si>
  <si>
    <t>See accompanying word doc</t>
  </si>
  <si>
    <t>2.1.3</t>
  </si>
  <si>
    <t>If more than 50% full during two routine cleanings, investigate the cause for excessive sediment loading. </t>
  </si>
  <si>
    <t>2.1.4</t>
  </si>
  <si>
    <t>Describe actions taken to assess and abate catch basins that are more than 50% full during two consecutive cleanings.</t>
  </si>
  <si>
    <t>2.1.5</t>
  </si>
  <si>
    <t>Document in first annual report the plan for optimizing catch basin cleaning, inspections or scheduling.</t>
  </si>
  <si>
    <t>2.1.6</t>
  </si>
  <si>
    <t xml:space="preserve">Maintain a log of catch basins cleaned or inspected. </t>
  </si>
  <si>
    <t>2.1.7</t>
  </si>
  <si>
    <t>2.2.1</t>
  </si>
  <si>
    <t>Develop and implement procedures for sweeping streets and municipal-owned lots. Include more frequent sweeping of targeted areas determined by the permittee on the basis of pollutant load reduction potential, based on inspections, pollutant loads, catch basin cleaning or inspection results, land use, water quality limited or RMDL waters or other relevant factors as determined by the permittee.</t>
  </si>
  <si>
    <t>2.3.7 a iii c</t>
  </si>
  <si>
    <t>2.2.2</t>
  </si>
  <si>
    <t>Sweep all streets (rural exceptions apply) a minimum of once a year in the spring.</t>
  </si>
  <si>
    <t>2.2.3</t>
  </si>
  <si>
    <t>Each annual report shall include number of miles cleaned and volume or mass of material removed.</t>
  </si>
  <si>
    <t>2.2.4</t>
  </si>
  <si>
    <t>For rural exception areas, either sweep once each spring, or develop specific procedures and place in first annual report. </t>
  </si>
  <si>
    <t>2.2.5</t>
  </si>
  <si>
    <t>Properly store &amp; dispose of catch basin cleanings and street sweepings so they do not discharge to receiving waters.</t>
  </si>
  <si>
    <t>2.3.7 a iii d</t>
  </si>
  <si>
    <t>Winter Road Maintenance</t>
  </si>
  <si>
    <t>2.3.1</t>
  </si>
  <si>
    <t>Establish written procedures for winter road maintenance including storage of salt and sand; minimize use of sodium chloride and other salts; ensure snow disposal activities do not result in disposal of snow into surface waters.</t>
  </si>
  <si>
    <t>2.3.7 a iii e</t>
  </si>
  <si>
    <t>2.3.2</t>
  </si>
  <si>
    <t>Implement procedures for winter road maintenance.</t>
  </si>
  <si>
    <t>Minimal cost as winter road maintenance costs are likely factored elsewhere.</t>
  </si>
  <si>
    <t>Maintenance of Town-owned Stormwater Treatment Structures</t>
  </si>
  <si>
    <t>2.4.1</t>
  </si>
  <si>
    <t>Establish written O&amp;M procedures for all permittee-owned stormwater BMPs (e.g., swales, retention basins etc.).</t>
  </si>
  <si>
    <t>2.3.7 a iii f</t>
  </si>
  <si>
    <t>2.4.2</t>
  </si>
  <si>
    <t>Inspect all such structures at least once annually.</t>
  </si>
  <si>
    <t>2.4.3</t>
  </si>
  <si>
    <t>2.3.7 a iv</t>
  </si>
  <si>
    <t>2.4.4</t>
  </si>
  <si>
    <t>Keep a written record of all required activities.</t>
  </si>
  <si>
    <t>2.3.7 a v</t>
  </si>
  <si>
    <t>SWPPP</t>
  </si>
  <si>
    <t>Develop a SWPPP for maintenance garages, public works yards, transfer stations, and other waste handling facilities where pollutants are exposed to stormwater.</t>
  </si>
  <si>
    <t>2.3.7 b</t>
  </si>
  <si>
    <t>Tech/Maint</t>
  </si>
  <si>
    <t>Fully implement SWPPPs for  each of the listed facilities.</t>
  </si>
  <si>
    <t>Regularly train employees who work in areas where materials or activities are exposed to stormwater. Document training date, title and duration; attendees; subjects covered during training.</t>
  </si>
  <si>
    <t>2.3.7 d 8</t>
  </si>
  <si>
    <t>Quarterly</t>
  </si>
  <si>
    <t>Inspect all areas exposed to stormwater and all stormwater control measures at least every calendar quarter, with one when a stormwater discharge is occurring.</t>
  </si>
  <si>
    <t>2.3.7 b iii a</t>
  </si>
  <si>
    <t>Repair or replace any control measures needing repair before the next anticipated storm event.</t>
  </si>
  <si>
    <t>Report the findings from the Site inspections in the annual report.</t>
  </si>
  <si>
    <t>Keep a written record of all required activities required under the SWPPP.</t>
  </si>
  <si>
    <t>2.3.7 b iv</t>
  </si>
  <si>
    <t>Weston and Sampson Cost estimate for Merrimack Valley Planning Commission ($5K-$10K)</t>
  </si>
  <si>
    <t>Includes hours to work with town to develop specifically for their system and develop GIS map and tracking tool.</t>
  </si>
  <si>
    <t>Assumes rented truck ($50-$100 per structure)</t>
  </si>
  <si>
    <t>Assume basic report.</t>
  </si>
  <si>
    <t>Most work completed under PAI 2.1.1 and this would be a simple write up</t>
  </si>
  <si>
    <t>Assumes rented truck ($50-$100 per curb mile)</t>
  </si>
  <si>
    <t>No cost as storage and disposal are regulated elsewhere. If truck is rented, disposal costs are included.</t>
  </si>
  <si>
    <t>Cost included throughout other items.</t>
  </si>
  <si>
    <t>Assume one annual training (8 hours) and 4-6 hours for documentation and prep</t>
  </si>
  <si>
    <t>No costs estimated as it could range from $0 - ? Based on extent of problem.</t>
  </si>
  <si>
    <t>CA State Water Board $5K-$10K per SWPPP</t>
  </si>
  <si>
    <t>Low - Assume 80 hours for preparation of written components, 40 hours for creation of maps and figures and 8 hours for meetings.  High - Increase plan preparation to 120 hours, creation of maps and figures to 60 hours and meetings to 24 hours.</t>
  </si>
  <si>
    <t>Pre-construction peer reviews per year. Low - Assume 24 hours per project. High - Assume  40 hours per project, including meetings.</t>
  </si>
  <si>
    <t>Fixed Costs</t>
  </si>
  <si>
    <t>Meeting with Town</t>
  </si>
  <si>
    <t>Meet with Town and review materials.</t>
  </si>
  <si>
    <t>Update covered under IDDE. Costs here reflect incorporation into annual report.</t>
  </si>
  <si>
    <t>Likely minimal effort.  Most tracking performed under PAI 4.4.2.  Assume 1-2 hours per year to include in annual report.</t>
  </si>
  <si>
    <t>Assume field work and most documentation performed under PAI 4.5.2 and 4.6.2.  Minimal effort, and possibly zero for communities with no SSOs.  Assume 0-4 hours.</t>
  </si>
  <si>
    <t>Likely minimal effort.  Training and most documentation under PAI 4.8.1  Assume 1-2 hours per year to include in annual report.</t>
  </si>
  <si>
    <t>Assume 1-2 hours to report status.</t>
  </si>
  <si>
    <t>Likely minimal effort.  Assume 1-2 hours per year to include in annual report.</t>
  </si>
  <si>
    <t>Low - Assume 40 hours to meet with town (8), review impaired waters (8), review existing BMPs implemented under the 2003 permit (8), develop new BMPs to meet the six minimum measures under the new permit (12), and complete the NOI (4). High - Assume 72 hours to meet with town (8), review impaired waters (16), review existing BMPs implemented under the 2003 permit (16), develop new BMPs to meet the six minimum measures under the new permit (24), and complete the NOI (8). There would be cost savings to develop this in coordination with SWMP.</t>
  </si>
  <si>
    <t>Required under 2003 Permit and should already be implemented. If not, could be combined with regulatory updated under 1.3.</t>
  </si>
  <si>
    <t>In annual report tab</t>
  </si>
  <si>
    <t>Most costs will go towards measuring effectiveness; estimated in annual report tab</t>
  </si>
  <si>
    <t>Material for report should be available through 2.1.2. and 2.1.6. Hours to assemble report and calculate material removed ( 8 hours in annual report tab)</t>
  </si>
  <si>
    <t>in annual report tab</t>
  </si>
  <si>
    <t># of residents</t>
  </si>
  <si>
    <t>Assumed # of households</t>
  </si>
  <si>
    <t>Assumed number of households</t>
  </si>
  <si>
    <t>Consultant Rate per hour</t>
  </si>
  <si>
    <t>WV estimate</t>
  </si>
  <si>
    <t>WV estimate and current copy rates</t>
  </si>
  <si>
    <t>Total Hours over 5-year period</t>
  </si>
  <si>
    <t>Total Hours Over 5-Year Permit Period</t>
  </si>
  <si>
    <t>Number of Curb Miles</t>
  </si>
  <si>
    <t>Miles of roadway for sweeping</t>
  </si>
  <si>
    <t>Number of Facilities</t>
  </si>
  <si>
    <t>Number of facilities requiring SWPPPs</t>
  </si>
  <si>
    <t>Task Specific Multipliers</t>
  </si>
  <si>
    <t>Total</t>
  </si>
  <si>
    <t>Cost</t>
  </si>
  <si>
    <t>One-Time</t>
  </si>
  <si>
    <t>Total*</t>
  </si>
  <si>
    <t>*Without Intermittent Costs</t>
  </si>
  <si>
    <t>TOTAL FOR FIVE YEARS (W/O Intermittent Costs)</t>
  </si>
  <si>
    <t>Number of Outfalls</t>
  </si>
  <si>
    <t>Number of CBs (10 per outfall)</t>
  </si>
  <si>
    <t>Number of Key Junction Manholes</t>
  </si>
  <si>
    <t>Option 1: 20% of CBs</t>
  </si>
  <si>
    <t>Option 2: 3 per outfall</t>
  </si>
  <si>
    <t>Number of outfalls flowing under dry conditions</t>
  </si>
  <si>
    <t>Percent of outfalls flowing under dry conditions</t>
  </si>
  <si>
    <t>TOTAL FOR FIVE YEARS (w/o intermittent costs)</t>
  </si>
  <si>
    <t>Number of permittee-owned facilities for evaluating BMP options</t>
  </si>
  <si>
    <t>TOTAL FOR FIVE YEARS Rented Truck (W/o Intermittent Costs)</t>
  </si>
  <si>
    <t>TOTAL FOR FIVE YEARS Purchased Truck (W/o Intermittent Costs)</t>
  </si>
  <si>
    <t>Rented Truck</t>
  </si>
  <si>
    <t>Purchased Truck</t>
  </si>
  <si>
    <t>One Time Costs</t>
  </si>
  <si>
    <t>Annual/Ongoing Costs</t>
  </si>
  <si>
    <t>Total Costs/Hours</t>
  </si>
  <si>
    <t xml:space="preserve"> Fixed Cost</t>
  </si>
  <si>
    <t>Assume 24-30 hours one time cost for meeting and coordination time with the community to determine what they currently do and what works for them in the future.</t>
  </si>
  <si>
    <t>Fixed Cost</t>
  </si>
  <si>
    <t>Assume 12 hours for site visits and 4-8 hours to prep table/report/letter</t>
  </si>
  <si>
    <t>NOI Requirement</t>
  </si>
  <si>
    <t>SWMP Requirement</t>
  </si>
  <si>
    <t>Annual Reporting Requirement</t>
  </si>
  <si>
    <t>Total Cost/Hours</t>
  </si>
  <si>
    <t xml:space="preserve"> Fixed Cost </t>
  </si>
  <si>
    <t>Covered under annual reporting</t>
  </si>
  <si>
    <t>Number of BMPs</t>
  </si>
  <si>
    <t>Costs will vary based on extent of SWPPPs; assume approximately $1,000-$1,500 per facility (3-5 facilities annually)</t>
  </si>
  <si>
    <t xml:space="preserve">Assume 2-4 hours per facility (3-5 facilities) per quarter or 8-16 hours per facility per year </t>
  </si>
  <si>
    <t>Most municipalities will continue to follow current town public notice requirements. May include posting SWMPs, annual reports, and other information about the permit to an already established town website or bulletin board.</t>
  </si>
  <si>
    <t>Covered under other public notification requirements (2.3.3 a)</t>
  </si>
  <si>
    <t>Structures needing annual cleaning</t>
  </si>
  <si>
    <t xml:space="preserve">Most communities will already be sweeping all roads. For rural communities, costs include 20 hours to develop plan and additional 10 hours per year to conduct a windshield survey and document. </t>
  </si>
  <si>
    <t>Assume $5,000 per facility. SWPPPs are required for3-5 of the 10 regulated facilities.</t>
  </si>
  <si>
    <t>CA State Water Board $1K per  facility</t>
  </si>
  <si>
    <t>Assume 16 hours to review discharge locations in relation to query findings,  phone conversation with USFWS, and brief letter report, follow-up correspondence and ultimate decision.  Note this step may not be necessary pending Step 2A results.</t>
  </si>
  <si>
    <t>Develop/update written SWMP to include: people responsible for program implementation; listing of all receiving waters, their classification, impairments, pollutants of concern, TMDLs, number of outfalls (included in NOI); surface drinking water supplies; listing of interconnected MS4; endangered species &amp; historic properties documentation; documentation of authorization of new or increased discharges; map of MS4; practices to achieve compliance with TMDLs &amp; non-TMDL impaired waters; practices to comply with six minimum measures; measures to avoid or minimize impacts to surface water supplies.</t>
  </si>
  <si>
    <t>Number of CA's with system vulnerability factors for wet weather sampling (25%)</t>
  </si>
  <si>
    <t>Number of CA's with system vulnerability factors for wet weather sampling (75%)</t>
  </si>
  <si>
    <t xml:space="preserve">Assume 6-8 hours per year for development of flyer </t>
  </si>
  <si>
    <t xml:space="preserve">Assume website start up cost of $2,500-$5,000 and annual maintenance cost of 4-8 hours </t>
  </si>
  <si>
    <t xml:space="preserve">Hours include time for advertising, reaching out to businesses, preparing workshops and materials. Additional costs are based on materials to be printed for workshops.  </t>
  </si>
  <si>
    <t>Range based on assumption a community will do the least expensive (flyers) task or the most expensive task (workshops) for a total of 8 messages throughout the permit term.</t>
  </si>
  <si>
    <t>Develop and send out two separate messages for each of 4 different audiences (residential, business/commercial/institution, developer &amp; construction, industrial) - assume distribution annually and a total of 8 messages per permit term.</t>
  </si>
  <si>
    <t xml:space="preserve">Assume 6-8 hours per year for development of brochure; printing and mailing costs range from $0.05 -$0.10 per household (assume approximately 6,000 households) </t>
  </si>
  <si>
    <t>Rural</t>
  </si>
  <si>
    <t>Suburban</t>
  </si>
  <si>
    <t>Urban</t>
  </si>
  <si>
    <t>Reese: 60 hours per year at $50/hour for large community.</t>
  </si>
  <si>
    <t xml:space="preserve">Varies depending on the amount of new construction per year.  Assume 0-40 hours per year to update map in GIS with new subdivision information. </t>
  </si>
  <si>
    <t>A plan was required under the 2003 permit. Assume low of 16 hours to update an existing plan with catchment prioritization and investigation requirements. Assume 48 hours to develop a plan if one does not exist.</t>
  </si>
  <si>
    <t>Maximum number of illicit dicharge incidents.</t>
  </si>
  <si>
    <t xml:space="preserve">Low assumes SVF applying to 25% of outfalls, high assumes 75%.  Assume 5 outfalls per person per day.  Note there can be substantial variation when performing wet weather sampling.  To be completed as catchment investigations are completed, so assumed it was spread evenly over 10 years (e.g., represents half the total cost will occur in the first five years). Annual reporting and mapping costs included under PAI 4.3.2. </t>
  </si>
  <si>
    <t>Covered under 4.5.1.</t>
  </si>
  <si>
    <t>Assume 2 people for 4 hours to investigate each incident, and additional 8 hours for a brief report.  Cost will vary depending on # of illicit discharges discovered.  Assume 0 to 3 per year, consistent with PAI 4.5.2.</t>
  </si>
  <si>
    <r>
      <rPr>
        <b/>
        <sz val="11"/>
        <color indexed="8"/>
        <rFont val="Calibri"/>
        <family val="2"/>
      </rPr>
      <t>If a Town's system has not yet been mapped and will be through field mapping, then the costs will be covered under PAI 3.1. If the system is already mapped and only need to perform the catchment investigation, then use this cost.</t>
    </r>
    <r>
      <rPr>
        <sz val="11"/>
        <color theme="1"/>
        <rFont val="Calibri"/>
        <family val="2"/>
        <scheme val="minor"/>
      </rPr>
      <t xml:space="preserve"> Costing assumes 20% of catch basins are KJMs as a low, or 3 per outfall for a high and covers investigation of all, which needs to be spread over 10 year period based on prioritization.  Assume 30-40 structures per day with 2 field personnel.  Additional annual reporting covered under PAI 4.3.2.  Assume some additional funding for travel time and miscellaneous equipment. </t>
    </r>
  </si>
  <si>
    <t>High excludes Item 4.4.4 (catchment investigations) since it assumes field mapping of the system, which will cover these costs. Costs do not account for Municipal time to coordinate with consultant.</t>
  </si>
  <si>
    <t>Construction Projects per Year</t>
  </si>
  <si>
    <t xml:space="preserve">Required in 2003. Low - Assume 0 hours because it was completed under 2003 permit.  High - 16 to outline procedures, 24 hours to develop inspection forms and tracking worksheets, and 16 hours for meetings.  Assume town will track site reviews &amp; inspections.  Assume additional $2,000 per year for legal to discuss enforcement, etc.). </t>
  </si>
  <si>
    <t>WV Estimate. For comparison - Reese:  $2,000 for small town, $3,000 for mid-sized town at $50/hr.</t>
  </si>
  <si>
    <t>WV Estimate. For comparison - Reese:  $12,000 to develop procedures (140 hours at $50/hr).  $10,000 per year for tracking items.  
Haverhill MA:  total cost of $5,600.</t>
  </si>
  <si>
    <t>WV Estimate based on performing peer reviews. Includes site visit, peer review, comments, response to comments and meeting(s). For comparison - Reese:  $45,000 per year (assumed to employ 1 person for 2 days per week).</t>
  </si>
  <si>
    <t xml:space="preserve">WV Estimate. </t>
  </si>
  <si>
    <t xml:space="preserve">Inspection time will vary from 4-8 hours depending on proximity of site to inspector. Assumes site visit, log completion, photo documentation and preparation of memo by consultant. Assume 1 inspection per project per year. </t>
  </si>
  <si>
    <r>
      <t xml:space="preserve">Low - Assume 8 hours per site to collect information on the site, visit the site in the field, develop preliminary BMP ideas, prepare preliminary maps, prepare rough cost estimates and prioritize sites and document in a report.  High - Add 16 hours per selected site to develop conceptual designs of the top 3 sites. </t>
    </r>
    <r>
      <rPr>
        <b/>
        <sz val="11"/>
        <color indexed="8"/>
        <rFont val="Calibri"/>
        <family val="2"/>
      </rPr>
      <t>Although permit just says to prepare an inventory - really need to evaluate BMP options as well for them to take action on, which is included in this cost.</t>
    </r>
  </si>
  <si>
    <t>Required in 2003 with less specificity. Low - Assume 8 hours to prepare documentation and $1,000 in legal fees. High - Increase hours to 40 hours and legal fees to $2,000. Note: There will also be an annual fee for the Town to track and follow-up on annual certifications, etc.</t>
  </si>
  <si>
    <t>Tracking hours per year.  Assume number of site reviews, inspections and enforcement actions tracked under PAI 1.4 with copy of tracking attached to report.</t>
  </si>
  <si>
    <t>Assume most work performed under PAI 4.4.4 and 4.4.5.  Just need to tabulate results into annual report.  Assume 2-4 hours to summarize for report.</t>
  </si>
  <si>
    <t>Assumes inspections logs will be completed during inspection and attached to the annual report. A few hours to obtain and include information on status of needed improvements identified during inspections.</t>
  </si>
  <si>
    <t>Cost to delineate under PAI 3.2.  Will depend on availability of classification factor information.  Assume 24 hours minimum to collect data, develop a matrix and rank catchments. Increase up to 40 hours for more complex data.</t>
  </si>
  <si>
    <t xml:space="preserve">Assume 16 hours for rural communities with no sewer to assess system vulnerability factors.  Assume 40 hours for towns with sewer. </t>
  </si>
  <si>
    <t>Assume investigation performed under PAI 4.3.2A. Assume 8 hours for a brief report for each incident.  Assume costs to fix ($2,500 estimated by CWP) are passed along to responsible party.</t>
  </si>
  <si>
    <t>Varies depending on the amount of construction or newly identified outfalls per year and the amount of updated screening information.  Assume 0-24 hours per year to update ranking with new information.</t>
  </si>
  <si>
    <t xml:space="preserve">Field mapping and dry weather sampling assumes 2 personnel per day at an average of 16 outfalls per day (based on CEI experience of performing outfall investigations). Equipment/lab includes one-time purchase of a multi-meter and field kits/lab tests for remaining parameters.  Note:  field efforts from PAI 2.1 combined with this PAI.  Assume additional 24-40 hours for mapping and report preparation, which would include reporting for items PAI 4.3.2, 4.3.3 and 4.4.4.   </t>
  </si>
  <si>
    <t xml:space="preserve">Low cost is for generation of a paper map using existing available maps (e.g., subdivision maps) and uses the average of CWP hours. The map may not be 100% accurate and could be missing some structures if done this way. High costs assumes 2 field personnel at 25 structures per day.  Also assumes another 2 hours per field day to pull data into GIS and map.  Assume rental fee of $50/day for GPS unit. This also covers catchment investigations under PAI 4.4.4. See 4.3.2. for field investigation cost. </t>
  </si>
  <si>
    <t>Depends on whether additional data outside the NPDES program is collected and provided to community.</t>
  </si>
  <si>
    <t>Review and summarize catch basin cleaning activities. No tracking/compilation costs covered under Good Housekeeping.</t>
  </si>
  <si>
    <t>Review and summarize street sweeping activities. No tracking/compilation costs covered under Good Housekeeping.</t>
  </si>
  <si>
    <t>Attach annual inspection logs completed under Good Housekeeping and summarize status of maintenance activities.</t>
  </si>
  <si>
    <t>No cost. Incorporated into prioritization matrix.</t>
  </si>
  <si>
    <t>Information should be generated as part of SWMP and public education program. Materials and measures to be attached to annual report. Most hours for measuring the effectiveness of the program.</t>
  </si>
  <si>
    <t>Investigation will likely involve driving around the subcatchment area to identify construction or sources of erosion, therefore, level of effort can be tied to number of outfalls. Assume up to 20% of outfalls have sediment issues and 1 hour per investigation.</t>
  </si>
  <si>
    <t>Truck purchase = $125,000-$320,000; annual cost for gas, maintenance, insurance; assumes driver's salary is already covered by existing budget)</t>
  </si>
  <si>
    <t>Pennichuck Brook Watershed Feasibility Study</t>
  </si>
  <si>
    <t>Minimum Control Measure</t>
  </si>
  <si>
    <t>Public Education</t>
  </si>
  <si>
    <t>Public Participation</t>
  </si>
  <si>
    <t>rented trucks</t>
  </si>
  <si>
    <t>purchased trucks</t>
  </si>
  <si>
    <t>NOI</t>
  </si>
  <si>
    <t>SWMP</t>
  </si>
  <si>
    <t>Annual Report</t>
  </si>
  <si>
    <t>Overview of Total Cost of Program (over 5 years)</t>
  </si>
  <si>
    <t>Truck purchase = $125,000-$250,000; annual cost for gas, maintenance, insurance; assumes driver's salary is already covered by existing budget.</t>
  </si>
  <si>
    <t>Overview of Annual Cost of Program</t>
  </si>
  <si>
    <t>Clean catch basins (rented truck)</t>
  </si>
  <si>
    <t>Clean catch basins (purchased truck).</t>
  </si>
  <si>
    <t>General</t>
  </si>
  <si>
    <t>Population in regulated area</t>
  </si>
  <si>
    <t>Consultant Rate / hour</t>
  </si>
  <si>
    <t>MCM3 - Illicit Discharge Detection and Elimination</t>
  </si>
  <si>
    <t>Number of outfalls</t>
  </si>
  <si>
    <t>Number of catch basins (10 per outfall if assumed)</t>
  </si>
  <si>
    <t># of households (=population / 2.4 if assumed)</t>
  </si>
  <si>
    <t xml:space="preserve">     Catchments with SVFs for wet sampling (low estimate - 25%)</t>
  </si>
  <si>
    <t xml:space="preserve">     Catchments with SVFs for wet sampling (high estimate - 75%)</t>
  </si>
  <si>
    <t>MCM4 - Construction Site Control</t>
  </si>
  <si>
    <t xml:space="preserve">     Key junction manholes (20% of CBs) / (3 per outfall)</t>
  </si>
  <si>
    <t>MCM5 - Post Construction Site Control</t>
  </si>
  <si>
    <t>Number of municipal facilities for BMP evaluation</t>
  </si>
  <si>
    <t>MCM6 - Good Housekeeping</t>
  </si>
  <si>
    <t>Number of community owned stormwater BMPs</t>
  </si>
  <si>
    <t>Assumed % of structures requiring cleaning (&gt;50% full)</t>
  </si>
  <si>
    <t xml:space="preserve">     Number of structures requiring cleaning per year</t>
  </si>
  <si>
    <t>Miles of town owned (regulated) roadway</t>
  </si>
  <si>
    <t xml:space="preserve">     Miles of roadway requiring sweeping (above x 2 times/yr)</t>
  </si>
  <si>
    <t>TMDL / Impaired Water Bodies</t>
  </si>
  <si>
    <t>Number of bacteria impaired water bodies</t>
  </si>
  <si>
    <t>MS4 Permit Task</t>
  </si>
  <si>
    <t>Estimated Hours</t>
  </si>
  <si>
    <t>Work Distribution</t>
  </si>
  <si>
    <t>Town</t>
  </si>
  <si>
    <t>Consultant</t>
  </si>
  <si>
    <t>% Overall Cost</t>
  </si>
  <si>
    <t>Notice of Intent (NOI)</t>
  </si>
  <si>
    <t>Stormwater Mgmt Plan (SWMP)</t>
  </si>
  <si>
    <t>MCM 1 - Public Education</t>
  </si>
  <si>
    <t>MCM 2 - Public Participation</t>
  </si>
  <si>
    <t>MCM 3 - IDDE</t>
  </si>
  <si>
    <t xml:space="preserve">     Written IDDE Plan / Procedures</t>
  </si>
  <si>
    <t xml:space="preserve">     System Mapping / Catchment Delineation</t>
  </si>
  <si>
    <t xml:space="preserve">     Catchment Assessment / Ranking</t>
  </si>
  <si>
    <t xml:space="preserve">     Dry Weather Screening</t>
  </si>
  <si>
    <t xml:space="preserve">     Wet Weather Screening</t>
  </si>
  <si>
    <t xml:space="preserve">     Catchment Investigations</t>
  </si>
  <si>
    <t xml:space="preserve">     Training</t>
  </si>
  <si>
    <t>MCM 4 - Construction Site Control</t>
  </si>
  <si>
    <t xml:space="preserve">     Update of construction bylaw/ordinance</t>
  </si>
  <si>
    <t>MCM 5 - Post Construction Site Control</t>
  </si>
  <si>
    <t xml:space="preserve">     Update post construction regulations</t>
  </si>
  <si>
    <t xml:space="preserve">     Inventory municipal properties</t>
  </si>
  <si>
    <t xml:space="preserve">    Construction review / site inspection procedures</t>
  </si>
  <si>
    <t xml:space="preserve">     Report on existing street / parking regulations</t>
  </si>
  <si>
    <t>MCM 6 - Good Housekeeping</t>
  </si>
  <si>
    <t xml:space="preserve">     BMP Inspection / Maintenance</t>
  </si>
  <si>
    <t xml:space="preserve">     SWPPP Written Plan Preparation</t>
  </si>
  <si>
    <t xml:space="preserve">     SWPPP Implementation</t>
  </si>
  <si>
    <t>Town owned trucks for catch basin cleaning? (Yes / No)</t>
  </si>
  <si>
    <t>Town owned trucks for street sweeping? (Yes / No)</t>
  </si>
  <si>
    <t xml:space="preserve">     Catch Basin Cleaning</t>
  </si>
  <si>
    <t xml:space="preserve">     Street Sweeping</t>
  </si>
  <si>
    <t>Assume 1-2 hours per BMP and 6 hours for documentation</t>
  </si>
  <si>
    <t>Assume 8 hours for general procedures and 4-16 for specific BMPs.</t>
  </si>
  <si>
    <t xml:space="preserve">     Develop Operation / Maintenance Procedures</t>
  </si>
  <si>
    <t>Assumed % outfalls flowing under dry conditions</t>
  </si>
  <si>
    <t>Community Notes / Assumptions</t>
  </si>
  <si>
    <t>MCM3 - IDDE</t>
  </si>
  <si>
    <t>Follow up sampling for illicit discharge source ID</t>
  </si>
  <si>
    <t>Identify responsible parties</t>
  </si>
  <si>
    <t>Confirmatory wet weather sampling after removal</t>
  </si>
  <si>
    <t>Pre-construction peer review</t>
  </si>
  <si>
    <t>Investigate catchments with excess sediment</t>
  </si>
  <si>
    <t>Document catchment investigations</t>
  </si>
  <si>
    <t>Impaired Water Bodies</t>
  </si>
  <si>
    <t>Region</t>
  </si>
  <si>
    <t>208 Credit</t>
  </si>
  <si>
    <t>Enhanced BMPs</t>
  </si>
  <si>
    <t xml:space="preserve">     Public Education (assumed add'l 10% of MCM1)</t>
  </si>
  <si>
    <t xml:space="preserve">     Post Construction Site Control (assumed add'l 10% of MCM5)</t>
  </si>
  <si>
    <t xml:space="preserve">     Good Housekeeping (assumed add'l 10% of MCM6 O&amp;M)</t>
  </si>
  <si>
    <t xml:space="preserve">     Street Sweeping 2x / yr</t>
  </si>
  <si>
    <t>Bacteria TMDL / Impaired Water</t>
  </si>
  <si>
    <t xml:space="preserve">     Public Education (assumed add'l 5% of MCM1)</t>
  </si>
  <si>
    <t>Town Total Number of ERU</t>
  </si>
  <si>
    <t>% Complete</t>
  </si>
  <si>
    <t>Monthly ERU rate to fund 100% of budget (low / high range)</t>
  </si>
  <si>
    <t xml:space="preserve">     Annual household cost to fund 100% of budget</t>
  </si>
  <si>
    <t>Conducting nitrogen related public outreach</t>
  </si>
  <si>
    <t>Making nitrogen removal a priority for retrofit rankings</t>
  </si>
  <si>
    <t>Optimize stormwater BMPs for nitrogen removal</t>
  </si>
  <si>
    <t>Using slow-release fertilizer on municipal properties</t>
  </si>
  <si>
    <t xml:space="preserve">Enhancing clean up of leaf litter </t>
  </si>
  <si>
    <t xml:space="preserve">Conducting well timed municipal street sweeping </t>
  </si>
  <si>
    <r>
      <t xml:space="preserve">For nitrogen-impaired water bodies: </t>
    </r>
    <r>
      <rPr>
        <i/>
        <sz val="11"/>
        <color theme="1"/>
        <rFont val="Calibri"/>
        <family val="2"/>
        <scheme val="minor"/>
      </rPr>
      <t xml:space="preserve">the following additional control measures </t>
    </r>
  </si>
  <si>
    <t>may be applied toward the 25% reduction in nitrogen in stormwater</t>
  </si>
  <si>
    <t>$ / ERU</t>
  </si>
  <si>
    <t>5-year Revenue</t>
  </si>
  <si>
    <t>National Average ERU rate ($5.18)</t>
  </si>
  <si>
    <t>National Median ERU rate ($4.00)</t>
  </si>
  <si>
    <t>Town Specified ERU rate</t>
  </si>
  <si>
    <t>Low Estimate</t>
  </si>
  <si>
    <t>High Estimate</t>
  </si>
  <si>
    <t>6+</t>
  </si>
  <si>
    <t>Permit Year</t>
  </si>
  <si>
    <t>Permit Task</t>
  </si>
  <si>
    <t>Notice of Intent</t>
  </si>
  <si>
    <t>MCM1 Public Education</t>
  </si>
  <si>
    <t>MCM2 Public Participation</t>
  </si>
  <si>
    <t>MCM3 IDDE</t>
  </si>
  <si>
    <t>X</t>
  </si>
  <si>
    <t xml:space="preserve">     Construction review / site inspection procedures</t>
  </si>
  <si>
    <t xml:space="preserve">     Preconstruction reviews</t>
  </si>
  <si>
    <t xml:space="preserve">     Construction site inspections</t>
  </si>
  <si>
    <t>5-Yr Total</t>
  </si>
  <si>
    <t># Yrs</t>
  </si>
  <si>
    <t>Total Low Cost Estimate</t>
  </si>
  <si>
    <t>Total High Cost Estimate</t>
  </si>
  <si>
    <t>YR1</t>
  </si>
  <si>
    <t>YR2</t>
  </si>
  <si>
    <t>YR3</t>
  </si>
  <si>
    <t>YR4</t>
  </si>
  <si>
    <t>YR5</t>
  </si>
  <si>
    <t>Annual Low Estimated Costs to Town</t>
  </si>
  <si>
    <t>Annual High Estimated Costs to Town</t>
  </si>
  <si>
    <t>Annual Low Cost Estimates for Town</t>
  </si>
  <si>
    <t>Annual High Cost Estimates for Town</t>
  </si>
  <si>
    <t>Update mapping for new construction</t>
  </si>
  <si>
    <t>Annual Low Cost Estimates for Consultant</t>
  </si>
  <si>
    <t>Annual High Cost Estimates for Consultant</t>
  </si>
  <si>
    <t>5 Yr Program Cost Estimate (Low)</t>
  </si>
  <si>
    <t>5 Yr Program Cost Estimate (High)</t>
  </si>
  <si>
    <t>Intermittent (Town &amp; Consultant)</t>
  </si>
  <si>
    <t>Impaired Waters (Town &amp; Consultant)</t>
  </si>
  <si>
    <t>Town MS4 Permit Tasks</t>
  </si>
  <si>
    <t>Consultant MS4 Permit Tasks</t>
  </si>
  <si>
    <t>Intermittent Costs</t>
  </si>
  <si>
    <t>Repair and replace SWPPP control measures (assumed 20% of SWPPP implementation)</t>
  </si>
  <si>
    <t>Potential Truck Purchase / Replacement Cost</t>
  </si>
  <si>
    <t>Number of phosphorus impaired water bodies</t>
  </si>
  <si>
    <t>Nitrogen TMDL or N/P Impaired Water</t>
  </si>
  <si>
    <t>Number of nitrogen impaired water bodies</t>
  </si>
  <si>
    <t>Number of nitrogen TMDL water bodies</t>
  </si>
  <si>
    <t>N or P Source ID Report (assumed 25% of catchment assessment / ranking per water body)</t>
  </si>
  <si>
    <t>Town:</t>
  </si>
  <si>
    <t xml:space="preserve">Community Statistics </t>
  </si>
  <si>
    <t>Yes</t>
  </si>
  <si>
    <t xml:space="preserve">User can fill in or otherwise edit this cell. </t>
  </si>
  <si>
    <t xml:space="preserve">Spreadsheet generates calculation based on filled-in cells. </t>
  </si>
  <si>
    <t>LEGEND: CELL COLORS</t>
  </si>
  <si>
    <t xml:space="preserve">Spreadsheet output, based on user-provided information and EPA cost estimator. </t>
  </si>
  <si>
    <t>Annual construction projects w/site inspection paid by town (min/max)</t>
  </si>
  <si>
    <t>Number of facilities requiring SWPPPs (min/max)</t>
  </si>
  <si>
    <t>Chatham</t>
  </si>
  <si>
    <t>Maximum # of illicit discharge incidents (min/max)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</si>
</sst>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quot;$&quot;#,##0;[Red]\-&quot;$&quot;#,##0"/>
    <numFmt numFmtId="165" formatCode="&quot;$&quot;#,##0;[Red]&quot;$&quot;#,##0"/>
    <numFmt numFmtId="166" formatCode="&quot;$&quot;#,##0"/>
    <numFmt numFmtId="167" formatCode="0.0"/>
    <numFmt numFmtId="168" formatCode="#,##0;[Red]#,##0"/>
    <numFmt numFmtId="169" formatCode="\$#,##0.00_);[Red]&quot;($&quot;#,##0.00\)"/>
    <numFmt numFmtId="170" formatCode="_(\$* #,##0.00_);_(\$* \(#,##0.00\);_(\$* \-??_);_(@_)"/>
    <numFmt numFmtId="171" formatCode="\$#,##0_);[Red]&quot;($&quot;#,##0\)"/>
    <numFmt numFmtId="172" formatCode="_(&quot;$&quot;* #,##0_);_(&quot;$&quot;* \(#,##0\);_(&quot;$&quot;* &quot;-&quot;??_);_(@_)"/>
    <numFmt numFmtId="173" formatCode="_(&quot;$&quot;* #,##0_);_(&quot;$&quot;* \(#,##0\);_(&quot;$&quot;* &quot;-&quot;?_);_(@_)"/>
  </numFmts>
  <fonts count="31" x14ac:knownFonts="1">
    <font>
      <sz val="11"/>
      <color theme="1"/>
      <name val="Calibri"/>
      <family val="2"/>
      <scheme val="minor"/>
    </font>
    <font>
      <sz val="8"/>
      <name val="Calibri"/>
      <family val="2"/>
    </font>
    <font>
      <sz val="10"/>
      <name val="Times New Roman"/>
      <family val="1"/>
    </font>
    <font>
      <b/>
      <sz val="11"/>
      <color indexed="8"/>
      <name val="Calibri"/>
      <family val="2"/>
    </font>
    <font>
      <sz val="11"/>
      <name val="Times New Roman"/>
      <family val="1"/>
    </font>
    <font>
      <u/>
      <sz val="10"/>
      <color indexed="12"/>
      <name val="Arial"/>
      <family val="2"/>
    </font>
    <font>
      <sz val="11"/>
      <name val="Calibri"/>
      <family val="2"/>
    </font>
    <font>
      <b/>
      <sz val="10"/>
      <name val="Times New Roman"/>
      <family val="1"/>
    </font>
    <font>
      <sz val="11"/>
      <color theme="1"/>
      <name val="Calibri"/>
      <family val="2"/>
      <scheme val="minor"/>
    </font>
    <font>
      <b/>
      <sz val="11"/>
      <color rgb="FFFA7D00"/>
      <name val="Calibri"/>
      <family val="2"/>
      <scheme val="minor"/>
    </font>
    <font>
      <u/>
      <sz val="11"/>
      <color theme="10"/>
      <name val="Calibri"/>
      <family val="2"/>
      <scheme val="minor"/>
    </font>
    <font>
      <sz val="11"/>
      <color rgb="FF3F3F76"/>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i/>
      <sz val="12"/>
      <color theme="1"/>
      <name val="Calibri"/>
      <family val="2"/>
      <scheme val="minor"/>
    </font>
    <font>
      <i/>
      <sz val="11"/>
      <color theme="1"/>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i/>
      <sz val="11"/>
      <color theme="1"/>
      <name val="Calibri"/>
      <family val="2"/>
      <scheme val="minor"/>
    </font>
    <font>
      <sz val="11"/>
      <color theme="1"/>
      <name val="Wingdings"/>
      <charset val="2"/>
    </font>
    <font>
      <b/>
      <sz val="11"/>
      <color theme="0"/>
      <name val="Calibri"/>
      <family val="2"/>
      <scheme val="minor"/>
    </font>
    <font>
      <sz val="11"/>
      <color theme="0"/>
      <name val="Calibri"/>
      <family val="2"/>
      <scheme val="minor"/>
    </font>
    <font>
      <b/>
      <sz val="12"/>
      <name val="Calibri"/>
      <family val="2"/>
      <scheme val="minor"/>
    </font>
    <font>
      <b/>
      <sz val="14"/>
      <color theme="1"/>
      <name val="Calibri"/>
      <family val="2"/>
      <scheme val="minor"/>
    </font>
    <font>
      <sz val="11"/>
      <color rgb="FF9C0006"/>
      <name val="Calibri"/>
      <family val="2"/>
      <scheme val="minor"/>
    </font>
    <font>
      <b/>
      <sz val="11"/>
      <name val="Calibri"/>
      <family val="2"/>
      <scheme val="minor"/>
    </font>
    <font>
      <b/>
      <sz val="18"/>
      <color theme="1"/>
      <name val="Calibri"/>
      <family val="2"/>
      <scheme val="minor"/>
    </font>
    <font>
      <sz val="20"/>
      <color theme="1"/>
      <name val="Calibri"/>
      <family val="2"/>
      <scheme val="minor"/>
    </font>
    <font>
      <b/>
      <sz val="20"/>
      <color theme="1"/>
      <name val="Calibri"/>
      <family val="2"/>
      <scheme val="minor"/>
    </font>
  </fonts>
  <fills count="21">
    <fill>
      <patternFill patternType="none"/>
    </fill>
    <fill>
      <patternFill patternType="gray125"/>
    </fill>
    <fill>
      <patternFill patternType="solid">
        <fgColor rgb="FFF2F2F2"/>
      </patternFill>
    </fill>
    <fill>
      <patternFill patternType="solid">
        <fgColor rgb="FFFFCC99"/>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rgb="FFD9D9D9"/>
        <bgColor rgb="FF000000"/>
      </patternFill>
    </fill>
    <fill>
      <patternFill patternType="solid">
        <fgColor theme="2" tint="-0.499984740745262"/>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5" tint="-0.499984740745262"/>
        <bgColor indexed="64"/>
      </patternFill>
    </fill>
    <fill>
      <patternFill patternType="solid">
        <fgColor rgb="FFD9EBCD"/>
        <bgColor indexed="64"/>
      </patternFill>
    </fill>
    <fill>
      <patternFill patternType="solid">
        <fgColor rgb="FFFDEFE7"/>
        <bgColor indexed="64"/>
      </patternFill>
    </fill>
    <fill>
      <patternFill patternType="solid">
        <fgColor rgb="FFFFC7CE"/>
      </patternFill>
    </fill>
    <fill>
      <patternFill patternType="solid">
        <fgColor theme="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rgb="FFBFBFBF"/>
      </left>
      <right style="thin">
        <color rgb="FFBFBFBF"/>
      </right>
      <top style="thin">
        <color rgb="FFBFBFBF"/>
      </top>
      <bottom style="thin">
        <color rgb="FFBFBFBF"/>
      </bottom>
      <diagonal/>
    </border>
    <border>
      <left/>
      <right/>
      <top style="thin">
        <color theme="0" tint="-0.249977111117893"/>
      </top>
      <bottom/>
      <diagonal/>
    </border>
    <border>
      <left/>
      <right style="thin">
        <color rgb="FFBFBFBF"/>
      </right>
      <top style="thin">
        <color rgb="FFBFBFBF"/>
      </top>
      <bottom style="thin">
        <color rgb="FFBFBFBF"/>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rgb="FF7F7F7F"/>
      </left>
      <right style="thin">
        <color rgb="FF7F7F7F"/>
      </right>
      <top style="thin">
        <color rgb="FF7F7F7F"/>
      </top>
      <bottom/>
      <diagonal/>
    </border>
    <border>
      <left style="medium">
        <color rgb="FF7F7F7F"/>
      </left>
      <right/>
      <top style="medium">
        <color rgb="FF7F7F7F"/>
      </top>
      <bottom style="medium">
        <color rgb="FF7F7F7F"/>
      </bottom>
      <diagonal/>
    </border>
    <border>
      <left/>
      <right style="medium">
        <color rgb="FF7F7F7F"/>
      </right>
      <top style="medium">
        <color rgb="FF7F7F7F"/>
      </top>
      <bottom style="medium">
        <color rgb="FF7F7F7F"/>
      </bottom>
      <diagonal/>
    </border>
    <border>
      <left style="thick">
        <color rgb="FF7F7F7F"/>
      </left>
      <right/>
      <top style="thick">
        <color rgb="FF7F7F7F"/>
      </top>
      <bottom style="thick">
        <color rgb="FF7F7F7F"/>
      </bottom>
      <diagonal/>
    </border>
    <border>
      <left/>
      <right style="thick">
        <color rgb="FF7F7F7F"/>
      </right>
      <top style="thick">
        <color rgb="FF7F7F7F"/>
      </top>
      <bottom style="thick">
        <color rgb="FF7F7F7F"/>
      </bottom>
      <diagonal/>
    </border>
    <border>
      <left style="thin">
        <color rgb="FF7F7F7F"/>
      </left>
      <right style="thin">
        <color rgb="FF7F7F7F"/>
      </right>
      <top/>
      <bottom style="thin">
        <color rgb="FF7F7F7F"/>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64"/>
      </top>
      <bottom/>
      <diagonal/>
    </border>
    <border>
      <left/>
      <right style="thin">
        <color theme="0" tint="-0.34998626667073579"/>
      </right>
      <top style="thin">
        <color indexed="64"/>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indexed="64"/>
      </top>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theme="0" tint="-0.34998626667073579"/>
      </right>
      <top style="thin">
        <color indexed="64"/>
      </top>
      <bottom/>
      <diagonal/>
    </border>
    <border>
      <left style="thin">
        <color indexed="64"/>
      </left>
      <right style="thin">
        <color theme="0" tint="-0.34998626667073579"/>
      </right>
      <top/>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249977111117893"/>
      </right>
      <top style="thin">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style="thin">
        <color indexed="64"/>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indexed="64"/>
      </top>
      <bottom style="thin">
        <color theme="0" tint="-0.249977111117893"/>
      </bottom>
      <diagonal/>
    </border>
    <border>
      <left/>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diagonal/>
    </border>
    <border>
      <left style="thin">
        <color theme="0" tint="-0.249977111117893"/>
      </left>
      <right style="thin">
        <color indexed="64"/>
      </right>
      <top/>
      <bottom/>
      <diagonal/>
    </border>
    <border>
      <left style="thin">
        <color theme="0" tint="-0.249977111117893"/>
      </left>
      <right style="thin">
        <color indexed="64"/>
      </right>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34998626667073579"/>
      </bottom>
      <diagonal/>
    </border>
    <border>
      <left/>
      <right/>
      <top style="thin">
        <color theme="0" tint="-0.249977111117893"/>
      </top>
      <bottom style="thin">
        <color theme="0" tint="-0.34998626667073579"/>
      </bottom>
      <diagonal/>
    </border>
    <border>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top style="thin">
        <color rgb="FFBFBFBF"/>
      </top>
      <bottom style="thin">
        <color theme="0" tint="-0.249977111117893"/>
      </bottom>
      <diagonal/>
    </border>
    <border>
      <left/>
      <right style="thin">
        <color rgb="FFBFBFBF"/>
      </right>
      <top style="thin">
        <color rgb="FFBFBFBF"/>
      </top>
      <bottom style="thin">
        <color theme="0" tint="-0.249977111117893"/>
      </bottom>
      <diagonal/>
    </border>
    <border>
      <left style="thin">
        <color rgb="FFBFBFBF"/>
      </left>
      <right/>
      <top style="thin">
        <color rgb="FFBFBFBF"/>
      </top>
      <bottom style="thin">
        <color theme="0" tint="-0.249977111117893"/>
      </bottom>
      <diagonal/>
    </border>
    <border>
      <left/>
      <right style="thin">
        <color theme="0" tint="-0.249977111117893"/>
      </right>
      <top style="thin">
        <color rgb="FFBFBFBF"/>
      </top>
      <bottom style="thin">
        <color theme="0" tint="-0.249977111117893"/>
      </bottom>
      <diagonal/>
    </border>
    <border>
      <left style="thin">
        <color theme="0" tint="-0.249977111117893"/>
      </left>
      <right/>
      <top style="thin">
        <color theme="0" tint="-0.249977111117893"/>
      </top>
      <bottom style="thin">
        <color rgb="FFBFBFBF"/>
      </bottom>
      <diagonal/>
    </border>
    <border>
      <left/>
      <right/>
      <top style="thin">
        <color theme="0" tint="-0.249977111117893"/>
      </top>
      <bottom style="thin">
        <color rgb="FFBFBFBF"/>
      </bottom>
      <diagonal/>
    </border>
    <border>
      <left/>
      <right style="thin">
        <color theme="0" tint="-0.249977111117893"/>
      </right>
      <top style="thin">
        <color theme="0" tint="-0.249977111117893"/>
      </top>
      <bottom style="thin">
        <color rgb="FFBFBFBF"/>
      </bottom>
      <diagonal/>
    </border>
    <border>
      <left style="medium">
        <color indexed="64"/>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thin">
        <color rgb="FF7F7F7F"/>
      </left>
      <right style="thin">
        <color rgb="FF7F7F7F"/>
      </right>
      <top style="thin">
        <color rgb="FF7F7F7F"/>
      </top>
      <bottom style="medium">
        <color auto="1"/>
      </bottom>
      <diagonal/>
    </border>
    <border>
      <left style="thin">
        <color rgb="FF7F7F7F"/>
      </left>
      <right style="medium">
        <color auto="1"/>
      </right>
      <top style="thin">
        <color rgb="FF7F7F7F"/>
      </top>
      <bottom style="medium">
        <color auto="1"/>
      </bottom>
      <diagonal/>
    </border>
    <border>
      <left/>
      <right style="mediumDashDotDot">
        <color indexed="64"/>
      </right>
      <top style="medium">
        <color indexed="64"/>
      </top>
      <bottom/>
      <diagonal/>
    </border>
    <border>
      <left/>
      <right style="mediumDashDotDot">
        <color indexed="64"/>
      </right>
      <top/>
      <bottom/>
      <diagonal/>
    </border>
    <border>
      <left/>
      <right style="mediumDashDotDot">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s>
  <cellStyleXfs count="8">
    <xf numFmtId="0" fontId="0" fillId="0" borderId="0"/>
    <xf numFmtId="0" fontId="9" fillId="2" borderId="23" applyNumberFormat="0" applyAlignment="0" applyProtection="0"/>
    <xf numFmtId="43" fontId="8" fillId="0" borderId="0" applyFont="0" applyFill="0" applyBorder="0" applyAlignment="0" applyProtection="0"/>
    <xf numFmtId="44" fontId="8" fillId="0" borderId="0" applyFont="0" applyFill="0" applyBorder="0" applyAlignment="0" applyProtection="0"/>
    <xf numFmtId="0" fontId="10" fillId="0" borderId="0" applyNumberFormat="0" applyFill="0" applyBorder="0" applyAlignment="0" applyProtection="0"/>
    <xf numFmtId="0" fontId="11" fillId="3" borderId="23" applyNumberFormat="0" applyAlignment="0" applyProtection="0"/>
    <xf numFmtId="9" fontId="8" fillId="0" borderId="0" applyFont="0" applyFill="0" applyBorder="0" applyAlignment="0" applyProtection="0"/>
    <xf numFmtId="0" fontId="26" fillId="19" borderId="0" applyNumberFormat="0" applyBorder="0" applyAlignment="0" applyProtection="0"/>
  </cellStyleXfs>
  <cellXfs count="969">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12" fillId="0" borderId="0" xfId="0" applyFont="1"/>
    <xf numFmtId="0" fontId="0" fillId="0" borderId="0" xfId="0" applyFont="1"/>
    <xf numFmtId="165" fontId="0" fillId="0" borderId="0" xfId="0" applyNumberFormat="1"/>
    <xf numFmtId="0" fontId="0" fillId="0" borderId="0" xfId="0" applyAlignment="1">
      <alignment wrapText="1"/>
    </xf>
    <xf numFmtId="0" fontId="0" fillId="0" borderId="0" xfId="0" applyFill="1" applyAlignment="1">
      <alignment horizontal="center" wrapText="1"/>
    </xf>
    <xf numFmtId="0" fontId="0" fillId="0" borderId="0" xfId="0" applyFont="1" applyFill="1" applyAlignment="1">
      <alignment horizontal="center"/>
    </xf>
    <xf numFmtId="0" fontId="0" fillId="0" borderId="0" xfId="0" applyFont="1" applyFill="1" applyAlignment="1">
      <alignment horizontal="left"/>
    </xf>
    <xf numFmtId="0" fontId="2" fillId="0" borderId="0" xfId="0" applyFont="1" applyBorder="1" applyAlignment="1">
      <alignment horizontal="center" wrapText="1"/>
    </xf>
    <xf numFmtId="0" fontId="0"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9" fontId="0" fillId="0" borderId="0" xfId="0" applyNumberFormat="1" applyAlignment="1">
      <alignment horizontal="center" vertical="center"/>
    </xf>
    <xf numFmtId="3" fontId="8" fillId="0" borderId="0" xfId="2" applyNumberFormat="1" applyFont="1" applyAlignment="1">
      <alignment horizontal="center" vertical="center"/>
    </xf>
    <xf numFmtId="0" fontId="0" fillId="0" borderId="0" xfId="0" applyFont="1" applyAlignment="1">
      <alignment horizontal="center" vertical="center" wrapText="1"/>
    </xf>
    <xf numFmtId="1" fontId="0" fillId="0" borderId="0" xfId="0" applyNumberFormat="1"/>
    <xf numFmtId="1" fontId="0" fillId="0" borderId="0" xfId="0" applyNumberFormat="1" applyAlignment="1">
      <alignment horizontal="right"/>
    </xf>
    <xf numFmtId="165" fontId="0" fillId="0" borderId="0" xfId="0" applyNumberFormat="1" applyAlignment="1">
      <alignment horizontal="right"/>
    </xf>
    <xf numFmtId="166" fontId="0" fillId="0" borderId="0" xfId="0" applyNumberFormat="1"/>
    <xf numFmtId="166" fontId="0" fillId="0" borderId="0" xfId="0" applyNumberFormat="1" applyAlignment="1">
      <alignment horizontal="right"/>
    </xf>
    <xf numFmtId="0" fontId="0" fillId="0" borderId="0" xfId="0" applyBorder="1"/>
    <xf numFmtId="0" fontId="0" fillId="0" borderId="0" xfId="0" applyAlignment="1">
      <alignment horizontal="right"/>
    </xf>
    <xf numFmtId="3" fontId="0" fillId="0" borderId="0" xfId="0" applyNumberFormat="1"/>
    <xf numFmtId="0" fontId="2" fillId="0" borderId="0" xfId="0" applyFont="1"/>
    <xf numFmtId="0" fontId="2" fillId="0" borderId="0" xfId="0" applyFont="1" applyAlignment="1">
      <alignment horizontal="right"/>
    </xf>
    <xf numFmtId="44" fontId="2" fillId="0" borderId="0" xfId="3" applyFont="1" applyFill="1" applyBorder="1" applyAlignment="1" applyProtection="1">
      <alignment horizontal="left"/>
    </xf>
    <xf numFmtId="0" fontId="4" fillId="0" borderId="0" xfId="0" applyFont="1"/>
    <xf numFmtId="169" fontId="4" fillId="0" borderId="0" xfId="0" applyNumberFormat="1" applyFont="1"/>
    <xf numFmtId="0" fontId="4" fillId="0" borderId="0" xfId="0" applyFont="1" applyAlignment="1">
      <alignment horizontal="left"/>
    </xf>
    <xf numFmtId="170" fontId="4" fillId="0" borderId="0" xfId="0" applyNumberFormat="1" applyFont="1"/>
    <xf numFmtId="0" fontId="5" fillId="0" borderId="0" xfId="4" applyNumberFormat="1" applyFont="1" applyFill="1" applyBorder="1" applyAlignment="1" applyProtection="1"/>
    <xf numFmtId="171" fontId="4" fillId="0" borderId="0" xfId="0" applyNumberFormat="1" applyFont="1"/>
    <xf numFmtId="44" fontId="8" fillId="0" borderId="0" xfId="3"/>
    <xf numFmtId="8" fontId="4" fillId="0" borderId="0" xfId="0" applyNumberFormat="1" applyFont="1"/>
    <xf numFmtId="0" fontId="4" fillId="0" borderId="0" xfId="0" applyFont="1" applyAlignment="1">
      <alignment horizontal="right"/>
    </xf>
    <xf numFmtId="6" fontId="0" fillId="0" borderId="0" xfId="0" applyNumberFormat="1"/>
    <xf numFmtId="1" fontId="0" fillId="0" borderId="0" xfId="0" quotePrefix="1" applyNumberFormat="1"/>
    <xf numFmtId="165" fontId="0" fillId="0" borderId="0" xfId="0" applyNumberFormat="1" applyFill="1" applyBorder="1" applyAlignment="1">
      <alignment wrapText="1"/>
    </xf>
    <xf numFmtId="2" fontId="0" fillId="0" borderId="0" xfId="0" applyNumberFormat="1"/>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vertical="center"/>
    </xf>
    <xf numFmtId="0" fontId="12" fillId="0" borderId="0" xfId="0" applyFont="1" applyAlignment="1"/>
    <xf numFmtId="0" fontId="12" fillId="0" borderId="0" xfId="0" applyFont="1" applyAlignment="1">
      <alignment vertical="center"/>
    </xf>
    <xf numFmtId="166" fontId="0" fillId="0" borderId="1" xfId="0" applyNumberFormat="1" applyFont="1" applyBorder="1" applyAlignment="1">
      <alignment horizontal="center" vertical="center"/>
    </xf>
    <xf numFmtId="166" fontId="0" fillId="0" borderId="2" xfId="0" applyNumberFormat="1" applyFont="1" applyBorder="1" applyAlignment="1">
      <alignment horizontal="center" vertical="center"/>
    </xf>
    <xf numFmtId="166" fontId="13" fillId="0" borderId="0" xfId="0" applyNumberFormat="1" applyFont="1"/>
    <xf numFmtId="1" fontId="0" fillId="0" borderId="3" xfId="0" applyNumberFormat="1" applyBorder="1" applyAlignment="1">
      <alignment horizontal="center" vertical="center"/>
    </xf>
    <xf numFmtId="166" fontId="0" fillId="0" borderId="3" xfId="0" applyNumberFormat="1" applyBorder="1" applyAlignment="1">
      <alignment horizontal="center" vertical="center"/>
    </xf>
    <xf numFmtId="1" fontId="0" fillId="0" borderId="0" xfId="0" applyNumberFormat="1" applyBorder="1" applyAlignment="1">
      <alignment horizontal="center" vertical="center"/>
    </xf>
    <xf numFmtId="166" fontId="0" fillId="0" borderId="0" xfId="0" applyNumberFormat="1" applyAlignment="1">
      <alignment horizontal="center" vertical="center"/>
    </xf>
    <xf numFmtId="0" fontId="0" fillId="0" borderId="0" xfId="0" applyAlignment="1">
      <alignment horizontal="right" vertical="center"/>
    </xf>
    <xf numFmtId="166" fontId="0" fillId="0" borderId="0" xfId="0" applyNumberFormat="1" applyAlignment="1">
      <alignment horizontal="right" vertical="center"/>
    </xf>
    <xf numFmtId="1" fontId="0" fillId="0" borderId="0" xfId="0" applyNumberFormat="1" applyAlignment="1">
      <alignment horizontal="righ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65" fontId="0" fillId="0" borderId="0" xfId="0" applyNumberFormat="1" applyAlignment="1">
      <alignment horizontal="center" vertical="center"/>
    </xf>
    <xf numFmtId="0" fontId="0" fillId="4" borderId="0" xfId="0" applyFill="1"/>
    <xf numFmtId="6" fontId="0" fillId="0" borderId="0" xfId="0" applyNumberFormat="1" applyAlignment="1">
      <alignment horizontal="right"/>
    </xf>
    <xf numFmtId="1" fontId="0" fillId="0" borderId="0" xfId="0" quotePrefix="1" applyNumberFormat="1" applyAlignment="1">
      <alignment horizontal="right"/>
    </xf>
    <xf numFmtId="0" fontId="0" fillId="0" borderId="0" xfId="0" applyAlignment="1">
      <alignment horizontal="right" wrapText="1"/>
    </xf>
    <xf numFmtId="166" fontId="0" fillId="5" borderId="3" xfId="0" applyNumberFormat="1" applyFill="1" applyBorder="1" applyAlignment="1">
      <alignment horizontal="center" vertical="center"/>
    </xf>
    <xf numFmtId="3" fontId="0" fillId="5" borderId="3" xfId="0" applyNumberFormat="1" applyFill="1" applyBorder="1" applyAlignment="1">
      <alignment horizontal="center" vertical="center"/>
    </xf>
    <xf numFmtId="1" fontId="8" fillId="5" borderId="4" xfId="2" applyNumberFormat="1" applyFont="1" applyFill="1" applyBorder="1" applyAlignment="1">
      <alignment horizontal="center" vertical="center"/>
    </xf>
    <xf numFmtId="0" fontId="12" fillId="6" borderId="5" xfId="0" applyFont="1" applyFill="1" applyBorder="1" applyAlignment="1">
      <alignment horizontal="center" vertical="center"/>
    </xf>
    <xf numFmtId="0" fontId="0" fillId="0" borderId="24" xfId="0" applyBorder="1" applyAlignment="1">
      <alignment horizontal="center" vertical="center"/>
    </xf>
    <xf numFmtId="0" fontId="0" fillId="7" borderId="24" xfId="0" applyFont="1" applyFill="1" applyBorder="1" applyAlignment="1">
      <alignment horizontal="center" vertical="center" wrapText="1"/>
    </xf>
    <xf numFmtId="0" fontId="0" fillId="8" borderId="24" xfId="0" applyFill="1" applyBorder="1" applyAlignment="1">
      <alignment horizontal="center" vertical="center"/>
    </xf>
    <xf numFmtId="166" fontId="0" fillId="0" borderId="24" xfId="0" applyNumberFormat="1" applyFont="1" applyBorder="1" applyAlignment="1">
      <alignment horizontal="center" vertical="center"/>
    </xf>
    <xf numFmtId="0" fontId="0" fillId="0" borderId="24" xfId="0" applyBorder="1" applyAlignment="1">
      <alignment horizontal="center" vertical="center"/>
    </xf>
    <xf numFmtId="164" fontId="0" fillId="0" borderId="24" xfId="0" applyNumberFormat="1" applyBorder="1" applyAlignment="1">
      <alignment horizontal="center" vertical="center"/>
    </xf>
    <xf numFmtId="0" fontId="0" fillId="7" borderId="24" xfId="0" applyFill="1" applyBorder="1" applyAlignment="1">
      <alignment horizontal="center" vertical="center"/>
    </xf>
    <xf numFmtId="0" fontId="0" fillId="0" borderId="24" xfId="0" applyBorder="1" applyAlignment="1">
      <alignment horizontal="center" vertical="center" wrapText="1"/>
    </xf>
    <xf numFmtId="0" fontId="0" fillId="6" borderId="24" xfId="0" applyFill="1" applyBorder="1" applyAlignment="1">
      <alignment horizontal="center" vertical="center"/>
    </xf>
    <xf numFmtId="166" fontId="0" fillId="6" borderId="24" xfId="0" applyNumberFormat="1" applyFont="1" applyFill="1" applyBorder="1" applyAlignment="1">
      <alignment horizontal="center" vertical="center"/>
    </xf>
    <xf numFmtId="166" fontId="0" fillId="0" borderId="24" xfId="0" applyNumberFormat="1" applyFont="1" applyBorder="1" applyAlignment="1">
      <alignment horizontal="center" vertical="center"/>
    </xf>
    <xf numFmtId="0" fontId="0" fillId="0" borderId="24" xfId="0" applyFill="1" applyBorder="1" applyAlignment="1">
      <alignment horizontal="center" vertical="center" wrapText="1"/>
    </xf>
    <xf numFmtId="0" fontId="0" fillId="7" borderId="6" xfId="0" applyFill="1" applyBorder="1" applyAlignment="1">
      <alignment horizontal="center" vertical="center"/>
    </xf>
    <xf numFmtId="166" fontId="0" fillId="7" borderId="0" xfId="0" applyNumberFormat="1" applyFill="1" applyBorder="1" applyAlignment="1">
      <alignment horizontal="center" vertical="center"/>
    </xf>
    <xf numFmtId="164" fontId="0" fillId="7" borderId="0" xfId="0" applyNumberFormat="1" applyFill="1" applyBorder="1" applyAlignment="1">
      <alignment horizontal="center" vertical="center"/>
    </xf>
    <xf numFmtId="0" fontId="0" fillId="7" borderId="0" xfId="0" applyFill="1" applyBorder="1" applyAlignment="1">
      <alignment horizontal="center" vertical="center"/>
    </xf>
    <xf numFmtId="0" fontId="0" fillId="7" borderId="3" xfId="0" applyFill="1" applyBorder="1" applyAlignment="1">
      <alignment horizontal="center" vertical="center"/>
    </xf>
    <xf numFmtId="0" fontId="0" fillId="8" borderId="6" xfId="0" applyFill="1" applyBorder="1" applyAlignment="1">
      <alignment horizontal="center" vertical="center"/>
    </xf>
    <xf numFmtId="166" fontId="0" fillId="8" borderId="0" xfId="0" applyNumberFormat="1" applyFill="1" applyBorder="1" applyAlignment="1">
      <alignment horizontal="center" vertical="center"/>
    </xf>
    <xf numFmtId="0" fontId="0" fillId="8" borderId="0" xfId="0" applyFill="1" applyBorder="1" applyAlignment="1">
      <alignment horizontal="center" vertical="center"/>
    </xf>
    <xf numFmtId="0" fontId="0" fillId="8" borderId="3" xfId="0" applyFill="1" applyBorder="1" applyAlignment="1">
      <alignment horizontal="center" vertical="center"/>
    </xf>
    <xf numFmtId="0" fontId="0" fillId="9" borderId="6" xfId="0" applyFill="1" applyBorder="1" applyAlignment="1">
      <alignment horizontal="center" vertical="center"/>
    </xf>
    <xf numFmtId="165" fontId="0" fillId="9" borderId="0" xfId="0" applyNumberFormat="1" applyFill="1" applyBorder="1" applyAlignment="1">
      <alignment horizontal="center" vertical="center"/>
    </xf>
    <xf numFmtId="0" fontId="0" fillId="9" borderId="0" xfId="0" applyFill="1" applyBorder="1" applyAlignment="1">
      <alignment horizontal="center" vertical="center"/>
    </xf>
    <xf numFmtId="0" fontId="0" fillId="9" borderId="3" xfId="0" applyFill="1" applyBorder="1" applyAlignment="1">
      <alignment horizontal="center" vertical="center"/>
    </xf>
    <xf numFmtId="0" fontId="0" fillId="6" borderId="7" xfId="0" applyFill="1" applyBorder="1" applyAlignment="1">
      <alignment horizontal="center" vertical="center"/>
    </xf>
    <xf numFmtId="165" fontId="0" fillId="6" borderId="8" xfId="0" applyNumberFormat="1" applyFill="1" applyBorder="1" applyAlignment="1">
      <alignment horizontal="center" vertical="center"/>
    </xf>
    <xf numFmtId="0" fontId="0" fillId="6" borderId="8" xfId="0" applyFill="1" applyBorder="1" applyAlignment="1">
      <alignment horizontal="center" vertical="center"/>
    </xf>
    <xf numFmtId="0" fontId="0" fillId="6" borderId="4" xfId="0" applyFill="1" applyBorder="1" applyAlignment="1">
      <alignment horizontal="center" vertical="center"/>
    </xf>
    <xf numFmtId="0" fontId="12" fillId="6" borderId="6" xfId="0" applyFont="1" applyFill="1" applyBorder="1" applyAlignment="1">
      <alignment horizontal="center" vertical="center"/>
    </xf>
    <xf numFmtId="0" fontId="16" fillId="0" borderId="0" xfId="0" applyFont="1" applyBorder="1" applyAlignment="1">
      <alignment horizontal="center" vertical="center"/>
    </xf>
    <xf numFmtId="0" fontId="16" fillId="0" borderId="3" xfId="0" applyFont="1" applyBorder="1" applyAlignment="1">
      <alignment horizontal="center" vertical="center"/>
    </xf>
    <xf numFmtId="0" fontId="0" fillId="0" borderId="25" xfId="0" applyBorder="1" applyAlignment="1">
      <alignment horizontal="center" vertical="center"/>
    </xf>
    <xf numFmtId="0" fontId="0" fillId="0" borderId="26" xfId="0" applyFill="1" applyBorder="1" applyAlignment="1">
      <alignment horizontal="center" vertical="center"/>
    </xf>
    <xf numFmtId="0" fontId="0" fillId="0" borderId="25" xfId="0" applyBorder="1" applyAlignment="1">
      <alignment horizontal="center" vertical="center" wrapText="1"/>
    </xf>
    <xf numFmtId="0" fontId="0" fillId="6" borderId="27" xfId="0" applyFill="1" applyBorder="1" applyAlignment="1">
      <alignment horizontal="center" vertical="center"/>
    </xf>
    <xf numFmtId="0" fontId="0" fillId="6" borderId="28" xfId="0" applyFill="1" applyBorder="1" applyAlignment="1">
      <alignment horizontal="center" vertical="center"/>
    </xf>
    <xf numFmtId="0" fontId="0" fillId="6" borderId="28" xfId="0" applyFill="1" applyBorder="1" applyAlignment="1">
      <alignment horizontal="center" vertical="center" wrapText="1"/>
    </xf>
    <xf numFmtId="0" fontId="0" fillId="6" borderId="28" xfId="0" applyFont="1" applyFill="1" applyBorder="1" applyAlignment="1">
      <alignment horizontal="center" vertical="center"/>
    </xf>
    <xf numFmtId="166" fontId="0" fillId="6" borderId="28" xfId="0" applyNumberFormat="1" applyFont="1" applyFill="1" applyBorder="1" applyAlignment="1">
      <alignment horizontal="center" vertical="center"/>
    </xf>
    <xf numFmtId="0" fontId="12" fillId="6" borderId="28" xfId="0" applyFont="1" applyFill="1" applyBorder="1" applyAlignment="1">
      <alignment horizontal="right" vertical="center"/>
    </xf>
    <xf numFmtId="165" fontId="12" fillId="6" borderId="28" xfId="0" applyNumberFormat="1" applyFont="1" applyFill="1" applyBorder="1" applyAlignment="1">
      <alignment horizontal="center" vertical="center"/>
    </xf>
    <xf numFmtId="0" fontId="0" fillId="6" borderId="29" xfId="0" applyFill="1" applyBorder="1" applyAlignment="1">
      <alignment horizontal="center" vertical="center" wrapText="1"/>
    </xf>
    <xf numFmtId="166" fontId="12" fillId="10" borderId="24" xfId="0" applyNumberFormat="1" applyFont="1" applyFill="1" applyBorder="1" applyAlignment="1">
      <alignment horizontal="center"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166" fontId="0" fillId="5" borderId="4" xfId="0" applyNumberFormat="1" applyFill="1"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vertical="center" wrapText="1"/>
    </xf>
    <xf numFmtId="0" fontId="0" fillId="7" borderId="30" xfId="0" applyFont="1" applyFill="1" applyBorder="1" applyAlignment="1">
      <alignment horizontal="center" vertical="center" wrapText="1"/>
    </xf>
    <xf numFmtId="0" fontId="0" fillId="0" borderId="30" xfId="0" applyFill="1" applyBorder="1" applyAlignment="1">
      <alignment horizontal="center" vertical="center"/>
    </xf>
    <xf numFmtId="166" fontId="0" fillId="0" borderId="30"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7" borderId="30" xfId="0" applyFill="1" applyBorder="1" applyAlignment="1">
      <alignment horizontal="center" vertical="center" wrapText="1"/>
    </xf>
    <xf numFmtId="164" fontId="0" fillId="0" borderId="30" xfId="0" applyNumberFormat="1" applyBorder="1" applyAlignment="1">
      <alignment horizontal="center" vertical="center"/>
    </xf>
    <xf numFmtId="0" fontId="0" fillId="7" borderId="30"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6" borderId="33" xfId="0" applyFill="1" applyBorder="1" applyAlignment="1">
      <alignment horizontal="center" vertical="center"/>
    </xf>
    <xf numFmtId="0" fontId="0" fillId="6" borderId="34" xfId="0" applyFill="1" applyBorder="1" applyAlignment="1">
      <alignment horizontal="center" vertical="center"/>
    </xf>
    <xf numFmtId="0" fontId="17" fillId="6" borderId="34" xfId="0" applyFont="1" applyFill="1" applyBorder="1" applyAlignment="1">
      <alignment horizontal="center" vertical="center"/>
    </xf>
    <xf numFmtId="166" fontId="0" fillId="6" borderId="34" xfId="0" applyNumberFormat="1" applyFont="1" applyFill="1" applyBorder="1" applyAlignment="1">
      <alignment horizontal="center" vertical="center"/>
    </xf>
    <xf numFmtId="0" fontId="12" fillId="6" borderId="34" xfId="0" applyFont="1" applyFill="1" applyBorder="1" applyAlignment="1">
      <alignment horizontal="right" vertical="center"/>
    </xf>
    <xf numFmtId="165" fontId="12" fillId="6" borderId="34" xfId="0" applyNumberFormat="1" applyFont="1" applyFill="1" applyBorder="1" applyAlignment="1">
      <alignment horizontal="center" vertical="center"/>
    </xf>
    <xf numFmtId="0" fontId="0" fillId="6" borderId="35" xfId="0" applyFill="1" applyBorder="1" applyAlignment="1">
      <alignment horizontal="center" vertical="center" wrapText="1"/>
    </xf>
    <xf numFmtId="0" fontId="12" fillId="10" borderId="24" xfId="0" applyFont="1" applyFill="1" applyBorder="1" applyAlignment="1">
      <alignment horizontal="center" vertical="center"/>
    </xf>
    <xf numFmtId="1" fontId="12" fillId="10" borderId="24" xfId="0" applyNumberFormat="1" applyFont="1" applyFill="1" applyBorder="1" applyAlignment="1">
      <alignment horizontal="center" vertical="center" wrapText="1"/>
    </xf>
    <xf numFmtId="0" fontId="12" fillId="0" borderId="0" xfId="0" applyFont="1" applyAlignment="1">
      <alignment horizontal="center"/>
    </xf>
    <xf numFmtId="0" fontId="0" fillId="0" borderId="3" xfId="0" applyBorder="1" applyAlignment="1">
      <alignment horizontal="center" vertical="center"/>
    </xf>
    <xf numFmtId="0" fontId="0" fillId="0" borderId="3" xfId="0" applyFill="1" applyBorder="1" applyAlignment="1">
      <alignment horizontal="center" vertical="center"/>
    </xf>
    <xf numFmtId="166" fontId="0" fillId="0" borderId="8" xfId="0" applyNumberForma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4" borderId="0" xfId="0" applyFill="1" applyAlignment="1">
      <alignment horizontal="center" vertical="center"/>
    </xf>
    <xf numFmtId="0" fontId="12" fillId="6" borderId="24" xfId="0" applyFont="1" applyFill="1" applyBorder="1" applyAlignment="1">
      <alignment horizontal="center" vertical="center"/>
    </xf>
    <xf numFmtId="0" fontId="12" fillId="6" borderId="24" xfId="0" applyFont="1" applyFill="1" applyBorder="1" applyAlignment="1">
      <alignment horizontal="center" vertical="center" wrapText="1"/>
    </xf>
    <xf numFmtId="0" fontId="0" fillId="0" borderId="24" xfId="0" applyFill="1" applyBorder="1" applyAlignment="1">
      <alignment horizontal="center" vertical="center"/>
    </xf>
    <xf numFmtId="0" fontId="0" fillId="8" borderId="24" xfId="0" applyFont="1" applyFill="1" applyBorder="1" applyAlignment="1">
      <alignment horizontal="center" vertical="center"/>
    </xf>
    <xf numFmtId="0" fontId="12" fillId="0" borderId="24" xfId="0" applyFont="1" applyBorder="1" applyAlignment="1">
      <alignment horizontal="center" vertical="center"/>
    </xf>
    <xf numFmtId="166" fontId="12" fillId="0" borderId="24" xfId="0" applyNumberFormat="1" applyFont="1" applyBorder="1" applyAlignment="1">
      <alignment horizontal="center" vertical="center"/>
    </xf>
    <xf numFmtId="1" fontId="12" fillId="0" borderId="24" xfId="0" applyNumberFormat="1" applyFont="1" applyBorder="1" applyAlignment="1">
      <alignment horizontal="center" vertical="center" wrapText="1"/>
    </xf>
    <xf numFmtId="1" fontId="0" fillId="0" borderId="24" xfId="0" applyNumberFormat="1" applyFont="1" applyBorder="1" applyAlignment="1">
      <alignment horizontal="center" vertical="center"/>
    </xf>
    <xf numFmtId="0" fontId="0" fillId="7" borderId="24" xfId="0" applyFont="1" applyFill="1" applyBorder="1" applyAlignment="1">
      <alignment horizontal="center" vertical="center"/>
    </xf>
    <xf numFmtId="0" fontId="12" fillId="6" borderId="24" xfId="0" applyFont="1" applyFill="1" applyBorder="1" applyAlignment="1">
      <alignment horizontal="center" vertical="center"/>
    </xf>
    <xf numFmtId="0" fontId="12" fillId="5" borderId="24" xfId="0" applyFont="1" applyFill="1" applyBorder="1" applyAlignment="1">
      <alignment horizontal="center" vertical="center"/>
    </xf>
    <xf numFmtId="0" fontId="0" fillId="8" borderId="24" xfId="0" applyFill="1" applyBorder="1" applyAlignment="1">
      <alignment horizontal="center" vertical="center" wrapText="1"/>
    </xf>
    <xf numFmtId="0" fontId="0" fillId="7" borderId="24" xfId="0" applyFill="1" applyBorder="1" applyAlignment="1">
      <alignment horizontal="center" vertical="center" wrapText="1"/>
    </xf>
    <xf numFmtId="0" fontId="0" fillId="9" borderId="24" xfId="0" applyFill="1" applyBorder="1" applyAlignment="1">
      <alignment horizontal="center" vertical="center"/>
    </xf>
    <xf numFmtId="166" fontId="0" fillId="9" borderId="24" xfId="0" applyNumberFormat="1" applyFont="1" applyFill="1" applyBorder="1" applyAlignment="1">
      <alignment horizontal="center" vertical="center"/>
    </xf>
    <xf numFmtId="1" fontId="0" fillId="9" borderId="24" xfId="0" applyNumberFormat="1" applyFont="1" applyFill="1" applyBorder="1" applyAlignment="1">
      <alignment horizontal="center" vertical="center"/>
    </xf>
    <xf numFmtId="0" fontId="17" fillId="8" borderId="24" xfId="0" applyFont="1" applyFill="1" applyBorder="1" applyAlignment="1">
      <alignment horizontal="center" vertical="center"/>
    </xf>
    <xf numFmtId="0" fontId="17" fillId="7" borderId="24" xfId="0" applyFont="1" applyFill="1" applyBorder="1" applyAlignment="1">
      <alignment horizontal="center" vertical="center"/>
    </xf>
    <xf numFmtId="0" fontId="0" fillId="7" borderId="24" xfId="0" applyFill="1" applyBorder="1" applyAlignment="1">
      <alignment horizontal="center" vertical="center"/>
    </xf>
    <xf numFmtId="0" fontId="0" fillId="0" borderId="24" xfId="0" applyFont="1" applyBorder="1" applyAlignment="1">
      <alignment horizontal="center" vertical="center"/>
    </xf>
    <xf numFmtId="165" fontId="12" fillId="0" borderId="24" xfId="0" applyNumberFormat="1" applyFont="1" applyBorder="1" applyAlignment="1">
      <alignment horizontal="center" vertical="center"/>
    </xf>
    <xf numFmtId="0" fontId="0" fillId="8" borderId="24" xfId="0" applyFill="1" applyBorder="1" applyAlignment="1">
      <alignment horizontal="center" vertical="center"/>
    </xf>
    <xf numFmtId="0" fontId="17" fillId="0" borderId="24" xfId="0" applyFont="1" applyBorder="1" applyAlignment="1">
      <alignment horizontal="center" vertical="center"/>
    </xf>
    <xf numFmtId="0" fontId="2" fillId="7" borderId="24"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0" fillId="6" borderId="24" xfId="0" applyFill="1" applyBorder="1" applyAlignment="1">
      <alignment horizontal="center" vertical="center"/>
    </xf>
    <xf numFmtId="166" fontId="0" fillId="6" borderId="24" xfId="0" applyNumberFormat="1" applyFont="1" applyFill="1" applyBorder="1" applyAlignment="1">
      <alignment horizontal="center" vertical="center"/>
    </xf>
    <xf numFmtId="165" fontId="12" fillId="6" borderId="24" xfId="0" applyNumberFormat="1" applyFont="1" applyFill="1" applyBorder="1" applyAlignment="1">
      <alignment horizontal="center" vertical="center"/>
    </xf>
    <xf numFmtId="1" fontId="12" fillId="6" borderId="24" xfId="0" applyNumberFormat="1" applyFont="1" applyFill="1" applyBorder="1" applyAlignment="1">
      <alignment horizontal="center" vertical="center"/>
    </xf>
    <xf numFmtId="0" fontId="12" fillId="6" borderId="24" xfId="0" applyFont="1" applyFill="1" applyBorder="1" applyAlignment="1">
      <alignment horizontal="right" vertical="center"/>
    </xf>
    <xf numFmtId="1" fontId="0" fillId="6" borderId="8" xfId="0" applyNumberFormat="1" applyFill="1" applyBorder="1" applyAlignment="1">
      <alignment horizontal="center" vertical="center"/>
    </xf>
    <xf numFmtId="1" fontId="0" fillId="6" borderId="4" xfId="0" applyNumberFormat="1" applyFill="1" applyBorder="1" applyAlignment="1">
      <alignment horizontal="center" vertical="center"/>
    </xf>
    <xf numFmtId="0" fontId="0" fillId="6" borderId="6" xfId="0" applyFill="1" applyBorder="1" applyAlignment="1">
      <alignment horizontal="center" vertical="center"/>
    </xf>
    <xf numFmtId="165" fontId="0" fillId="6" borderId="0" xfId="0" applyNumberFormat="1" applyFill="1" applyBorder="1" applyAlignment="1">
      <alignment horizontal="center" vertical="center"/>
    </xf>
    <xf numFmtId="1" fontId="0" fillId="6" borderId="0" xfId="0" applyNumberFormat="1" applyFill="1" applyBorder="1" applyAlignment="1">
      <alignment horizontal="center" vertical="center"/>
    </xf>
    <xf numFmtId="1" fontId="0" fillId="6" borderId="3" xfId="0" applyNumberFormat="1" applyFill="1" applyBorder="1" applyAlignment="1">
      <alignment horizontal="center" vertical="center"/>
    </xf>
    <xf numFmtId="0" fontId="0" fillId="0" borderId="7" xfId="0" applyBorder="1" applyAlignment="1">
      <alignment vertical="center"/>
    </xf>
    <xf numFmtId="0" fontId="0" fillId="0" borderId="8" xfId="0" applyBorder="1"/>
    <xf numFmtId="0" fontId="0" fillId="0" borderId="8" xfId="0" applyBorder="1" applyAlignment="1">
      <alignment horizontal="center"/>
    </xf>
    <xf numFmtId="0" fontId="0" fillId="0" borderId="4" xfId="0" applyBorder="1" applyAlignment="1">
      <alignment horizontal="center"/>
    </xf>
    <xf numFmtId="0" fontId="0" fillId="10" borderId="30" xfId="0" applyFill="1" applyBorder="1" applyAlignment="1">
      <alignment horizontal="center" vertical="center"/>
    </xf>
    <xf numFmtId="0" fontId="12" fillId="10" borderId="30" xfId="0" applyFont="1" applyFill="1" applyBorder="1" applyAlignment="1">
      <alignment horizontal="center" vertical="center"/>
    </xf>
    <xf numFmtId="0" fontId="12" fillId="6" borderId="30" xfId="0" applyFont="1" applyFill="1" applyBorder="1" applyAlignment="1">
      <alignment horizontal="center" vertical="center"/>
    </xf>
    <xf numFmtId="0" fontId="0" fillId="6" borderId="30" xfId="0" applyFill="1" applyBorder="1" applyAlignment="1">
      <alignment horizontal="center" vertical="center"/>
    </xf>
    <xf numFmtId="1" fontId="0" fillId="11" borderId="30" xfId="0" applyNumberFormat="1" applyFill="1" applyBorder="1" applyAlignment="1">
      <alignment horizontal="center" vertical="center"/>
    </xf>
    <xf numFmtId="166" fontId="0" fillId="11" borderId="30" xfId="0" applyNumberFormat="1" applyFill="1" applyBorder="1" applyAlignment="1">
      <alignment horizontal="center" vertical="center"/>
    </xf>
    <xf numFmtId="0" fontId="0" fillId="11" borderId="30" xfId="0" applyFill="1" applyBorder="1" applyAlignment="1">
      <alignment horizontal="center" vertical="center" wrapText="1"/>
    </xf>
    <xf numFmtId="0" fontId="0" fillId="11" borderId="30" xfId="0" applyFill="1" applyBorder="1" applyAlignment="1">
      <alignment horizontal="center" vertical="center"/>
    </xf>
    <xf numFmtId="0" fontId="12" fillId="10" borderId="30" xfId="0" applyFont="1" applyFill="1" applyBorder="1" applyAlignment="1">
      <alignment horizontal="center" vertical="center"/>
    </xf>
    <xf numFmtId="1" fontId="0" fillId="10" borderId="30" xfId="0" applyNumberFormat="1" applyFill="1" applyBorder="1" applyAlignment="1">
      <alignment horizontal="center" vertical="center"/>
    </xf>
    <xf numFmtId="166" fontId="0" fillId="10" borderId="30" xfId="0" applyNumberFormat="1" applyFill="1" applyBorder="1" applyAlignment="1">
      <alignment horizontal="center" vertical="center"/>
    </xf>
    <xf numFmtId="0" fontId="0" fillId="10" borderId="30" xfId="0" applyFill="1" applyBorder="1" applyAlignment="1">
      <alignment horizontal="center" vertical="center" wrapText="1"/>
    </xf>
    <xf numFmtId="0" fontId="0" fillId="0" borderId="30" xfId="0" applyFill="1" applyBorder="1" applyAlignment="1">
      <alignment horizontal="center" vertical="center"/>
    </xf>
    <xf numFmtId="0" fontId="0" fillId="8" borderId="30" xfId="0" applyFill="1" applyBorder="1" applyAlignment="1">
      <alignment horizontal="center" vertical="center"/>
    </xf>
    <xf numFmtId="0" fontId="0" fillId="8" borderId="30" xfId="0" applyFont="1" applyFill="1" applyBorder="1" applyAlignment="1">
      <alignment horizontal="center" vertical="center"/>
    </xf>
    <xf numFmtId="0" fontId="0" fillId="8" borderId="30" xfId="0" applyFill="1" applyBorder="1" applyAlignment="1">
      <alignment horizontal="center" vertical="center" wrapText="1"/>
    </xf>
    <xf numFmtId="0" fontId="0" fillId="0" borderId="30" xfId="0" applyBorder="1" applyAlignment="1">
      <alignment horizontal="center" vertical="center"/>
    </xf>
    <xf numFmtId="1" fontId="0" fillId="0" borderId="30" xfId="0" applyNumberFormat="1" applyBorder="1" applyAlignment="1">
      <alignment horizontal="center" vertical="center"/>
    </xf>
    <xf numFmtId="166" fontId="0" fillId="0" borderId="30" xfId="0" applyNumberFormat="1" applyBorder="1" applyAlignment="1">
      <alignment horizontal="center" vertical="center"/>
    </xf>
    <xf numFmtId="0" fontId="0" fillId="0" borderId="30" xfId="0" applyBorder="1" applyAlignment="1">
      <alignment horizontal="center" vertical="center" wrapText="1"/>
    </xf>
    <xf numFmtId="0" fontId="17" fillId="0" borderId="30" xfId="0" applyFont="1" applyBorder="1" applyAlignment="1">
      <alignment horizontal="center" vertical="center"/>
    </xf>
    <xf numFmtId="0" fontId="0" fillId="0" borderId="30" xfId="0" applyFill="1" applyBorder="1" applyAlignment="1">
      <alignment horizontal="center" vertical="center" wrapText="1"/>
    </xf>
    <xf numFmtId="0" fontId="18" fillId="8" borderId="30" xfId="0" applyFont="1" applyFill="1" applyBorder="1" applyAlignment="1">
      <alignment horizontal="center" vertical="center" wrapText="1"/>
    </xf>
    <xf numFmtId="0" fontId="0" fillId="9" borderId="30" xfId="0" applyFill="1" applyBorder="1" applyAlignment="1">
      <alignment horizontal="center" vertical="center"/>
    </xf>
    <xf numFmtId="0" fontId="18" fillId="9" borderId="30"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0" xfId="0" applyBorder="1" applyAlignment="1">
      <alignment horizontal="center" vertical="center"/>
    </xf>
    <xf numFmtId="0" fontId="0" fillId="0" borderId="30" xfId="0" applyFont="1" applyBorder="1" applyAlignment="1">
      <alignment horizontal="center" vertical="center" wrapText="1"/>
    </xf>
    <xf numFmtId="0" fontId="12" fillId="0" borderId="30" xfId="0" applyFont="1" applyFill="1" applyBorder="1" applyAlignment="1">
      <alignment horizontal="center" vertical="center"/>
    </xf>
    <xf numFmtId="166" fontId="0" fillId="9" borderId="30" xfId="0" applyNumberFormat="1" applyFill="1" applyBorder="1" applyAlignment="1">
      <alignment horizontal="center" vertical="center"/>
    </xf>
    <xf numFmtId="0" fontId="0" fillId="6" borderId="30" xfId="0" applyFill="1" applyBorder="1" applyAlignment="1">
      <alignment horizontal="center" vertical="center"/>
    </xf>
    <xf numFmtId="0" fontId="0" fillId="6" borderId="30" xfId="0" applyFill="1" applyBorder="1" applyAlignment="1">
      <alignment horizontal="center" vertical="center" wrapText="1"/>
    </xf>
    <xf numFmtId="0" fontId="0" fillId="6" borderId="30" xfId="0" applyFont="1" applyFill="1" applyBorder="1" applyAlignment="1">
      <alignment horizontal="center" vertical="center" wrapText="1"/>
    </xf>
    <xf numFmtId="1" fontId="0" fillId="6" borderId="30" xfId="0" applyNumberFormat="1" applyFill="1" applyBorder="1" applyAlignment="1">
      <alignment horizontal="center" vertical="center"/>
    </xf>
    <xf numFmtId="166" fontId="0" fillId="6" borderId="30" xfId="0" applyNumberFormat="1" applyFill="1" applyBorder="1" applyAlignment="1">
      <alignment horizontal="center" vertical="center"/>
    </xf>
    <xf numFmtId="0" fontId="12" fillId="6" borderId="30" xfId="0" applyFont="1" applyFill="1" applyBorder="1" applyAlignment="1">
      <alignment horizontal="right" vertical="center"/>
    </xf>
    <xf numFmtId="165" fontId="12" fillId="6" borderId="30" xfId="0" applyNumberFormat="1" applyFont="1" applyFill="1" applyBorder="1" applyAlignment="1">
      <alignment horizontal="center" vertical="center"/>
    </xf>
    <xf numFmtId="0" fontId="12" fillId="6" borderId="30" xfId="0" applyFont="1" applyFill="1" applyBorder="1" applyAlignment="1">
      <alignment horizontal="center" vertical="center" wrapText="1"/>
    </xf>
    <xf numFmtId="0" fontId="0" fillId="0" borderId="0" xfId="0" applyBorder="1" applyAlignment="1">
      <alignment vertical="center"/>
    </xf>
    <xf numFmtId="167" fontId="0" fillId="0" borderId="30" xfId="0" applyNumberFormat="1" applyFill="1" applyBorder="1" applyAlignment="1">
      <alignment horizontal="center" vertical="center"/>
    </xf>
    <xf numFmtId="1" fontId="18" fillId="0" borderId="30" xfId="0" applyNumberFormat="1" applyFont="1" applyBorder="1" applyAlignment="1">
      <alignment horizontal="center" vertical="center"/>
    </xf>
    <xf numFmtId="0" fontId="18" fillId="0" borderId="30" xfId="0" applyFont="1" applyBorder="1" applyAlignment="1">
      <alignment horizontal="center" vertical="center" wrapText="1"/>
    </xf>
    <xf numFmtId="0" fontId="0" fillId="7" borderId="30" xfId="0" applyFont="1" applyFill="1" applyBorder="1" applyAlignment="1">
      <alignment horizontal="center" vertical="center"/>
    </xf>
    <xf numFmtId="1" fontId="0" fillId="8" borderId="0" xfId="0" applyNumberFormat="1" applyFill="1" applyBorder="1" applyAlignment="1">
      <alignment horizontal="center" vertical="center"/>
    </xf>
    <xf numFmtId="1" fontId="0" fillId="7" borderId="0" xfId="0" applyNumberFormat="1" applyFill="1" applyBorder="1" applyAlignment="1">
      <alignment horizontal="center" vertical="center"/>
    </xf>
    <xf numFmtId="1" fontId="0" fillId="7" borderId="3" xfId="0" applyNumberFormat="1" applyFill="1" applyBorder="1" applyAlignment="1">
      <alignment horizontal="center" vertical="center"/>
    </xf>
    <xf numFmtId="0" fontId="0" fillId="4" borderId="0" xfId="0" applyFill="1" applyAlignment="1">
      <alignment horizontal="right"/>
    </xf>
    <xf numFmtId="3" fontId="0" fillId="0" borderId="3" xfId="0" applyNumberFormat="1" applyBorder="1" applyAlignment="1">
      <alignment horizontal="center" vertical="center"/>
    </xf>
    <xf numFmtId="166" fontId="0" fillId="0" borderId="4" xfId="0" applyNumberFormat="1" applyBorder="1" applyAlignment="1">
      <alignment horizontal="center" vertical="center"/>
    </xf>
    <xf numFmtId="0" fontId="0" fillId="11" borderId="30" xfId="0" applyFont="1" applyFill="1" applyBorder="1" applyAlignment="1">
      <alignment horizontal="center" vertical="center"/>
    </xf>
    <xf numFmtId="166" fontId="0" fillId="11" borderId="30" xfId="0" applyNumberFormat="1" applyFont="1" applyFill="1" applyBorder="1" applyAlignment="1">
      <alignment horizontal="center" vertical="center"/>
    </xf>
    <xf numFmtId="0" fontId="12" fillId="11" borderId="30" xfId="0" applyFont="1" applyFill="1" applyBorder="1" applyAlignment="1">
      <alignment horizontal="center" vertical="center"/>
    </xf>
    <xf numFmtId="166" fontId="0" fillId="0" borderId="30" xfId="0" applyNumberFormat="1" applyFont="1" applyBorder="1" applyAlignment="1">
      <alignment horizontal="center" vertical="center"/>
    </xf>
    <xf numFmtId="1" fontId="0" fillId="0" borderId="30" xfId="0" applyNumberFormat="1" applyFont="1" applyBorder="1" applyAlignment="1">
      <alignment horizontal="center" vertical="center"/>
    </xf>
    <xf numFmtId="1" fontId="0" fillId="11"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166" fontId="0" fillId="0" borderId="30" xfId="0" applyNumberFormat="1" applyFont="1" applyFill="1" applyBorder="1" applyAlignment="1">
      <alignment horizontal="center" vertical="center"/>
    </xf>
    <xf numFmtId="0" fontId="12" fillId="5" borderId="30" xfId="0" applyFont="1" applyFill="1" applyBorder="1" applyAlignment="1">
      <alignment horizontal="center" vertical="center"/>
    </xf>
    <xf numFmtId="0" fontId="12" fillId="5" borderId="30" xfId="0" applyFont="1" applyFill="1" applyBorder="1" applyAlignment="1">
      <alignment horizontal="center" vertical="center" wrapText="1"/>
    </xf>
    <xf numFmtId="0" fontId="0" fillId="5" borderId="30" xfId="0" applyFont="1" applyFill="1" applyBorder="1" applyAlignment="1">
      <alignment horizontal="center" vertical="center"/>
    </xf>
    <xf numFmtId="166" fontId="0" fillId="5" borderId="30" xfId="0" applyNumberFormat="1" applyFont="1" applyFill="1" applyBorder="1" applyAlignment="1">
      <alignment horizontal="center" vertical="center"/>
    </xf>
    <xf numFmtId="1" fontId="0" fillId="5" borderId="30" xfId="0" applyNumberFormat="1" applyFont="1" applyFill="1" applyBorder="1" applyAlignment="1">
      <alignment horizontal="center" vertical="center"/>
    </xf>
    <xf numFmtId="0" fontId="0" fillId="5" borderId="30" xfId="0" applyFill="1" applyBorder="1" applyAlignment="1">
      <alignment horizontal="center" vertical="center"/>
    </xf>
    <xf numFmtId="0" fontId="17" fillId="0" borderId="30" xfId="0" applyFont="1" applyFill="1" applyBorder="1" applyAlignment="1">
      <alignment horizontal="center" vertical="center"/>
    </xf>
    <xf numFmtId="0" fontId="19" fillId="5" borderId="30" xfId="0" applyFont="1" applyFill="1" applyBorder="1" applyAlignment="1">
      <alignment horizontal="center" vertical="center"/>
    </xf>
    <xf numFmtId="2" fontId="0" fillId="0" borderId="30"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2" fillId="0" borderId="30" xfId="0" applyFont="1" applyBorder="1" applyAlignment="1">
      <alignment horizontal="center" vertical="center" wrapText="1"/>
    </xf>
    <xf numFmtId="0" fontId="0" fillId="5" borderId="30" xfId="0" applyFill="1" applyBorder="1" applyAlignment="1">
      <alignment horizontal="center" vertical="center" wrapText="1"/>
    </xf>
    <xf numFmtId="166" fontId="8" fillId="0" borderId="30" xfId="3" applyNumberFormat="1" applyFont="1" applyBorder="1" applyAlignment="1">
      <alignment horizontal="center" vertical="center"/>
    </xf>
    <xf numFmtId="1" fontId="12" fillId="10" borderId="30" xfId="0" applyNumberFormat="1" applyFont="1" applyFill="1" applyBorder="1" applyAlignment="1">
      <alignment horizontal="center" vertical="center" wrapText="1"/>
    </xf>
    <xf numFmtId="166" fontId="12" fillId="10" borderId="30" xfId="0" applyNumberFormat="1" applyFont="1" applyFill="1" applyBorder="1" applyAlignment="1">
      <alignment horizontal="center" vertical="center"/>
    </xf>
    <xf numFmtId="0" fontId="0" fillId="7" borderId="30" xfId="0" applyFill="1" applyBorder="1" applyAlignment="1">
      <alignment horizontal="center" vertical="center"/>
    </xf>
    <xf numFmtId="0" fontId="0" fillId="9" borderId="30" xfId="0" applyFill="1" applyBorder="1" applyAlignment="1">
      <alignment horizontal="center" vertical="center" wrapText="1"/>
    </xf>
    <xf numFmtId="0" fontId="17" fillId="7" borderId="30" xfId="0" applyFont="1" applyFill="1" applyBorder="1" applyAlignment="1">
      <alignment horizontal="center" vertical="center"/>
    </xf>
    <xf numFmtId="0" fontId="0" fillId="8" borderId="36" xfId="0" applyFill="1" applyBorder="1" applyAlignment="1">
      <alignment vertical="center"/>
    </xf>
    <xf numFmtId="0" fontId="0" fillId="8" borderId="37" xfId="0" applyFill="1" applyBorder="1" applyAlignment="1">
      <alignment vertical="center"/>
    </xf>
    <xf numFmtId="0" fontId="0" fillId="8" borderId="38" xfId="0" applyFill="1" applyBorder="1" applyAlignment="1">
      <alignment vertical="center"/>
    </xf>
    <xf numFmtId="0" fontId="17" fillId="0" borderId="39" xfId="0" applyFont="1" applyBorder="1" applyAlignment="1">
      <alignment horizontal="center" vertical="center"/>
    </xf>
    <xf numFmtId="166" fontId="0" fillId="9" borderId="30" xfId="0" applyNumberFormat="1" applyFont="1" applyFill="1" applyBorder="1" applyAlignment="1">
      <alignment horizontal="center" vertical="center"/>
    </xf>
    <xf numFmtId="1" fontId="0" fillId="9" borderId="30" xfId="0" applyNumberFormat="1" applyFont="1" applyFill="1" applyBorder="1" applyAlignment="1">
      <alignment horizontal="center" vertical="center"/>
    </xf>
    <xf numFmtId="2" fontId="0" fillId="0" borderId="3" xfId="0" applyNumberFormat="1" applyBorder="1" applyAlignment="1">
      <alignment horizontal="center" vertical="center"/>
    </xf>
    <xf numFmtId="0" fontId="0" fillId="6" borderId="30" xfId="0" applyFont="1" applyFill="1" applyBorder="1" applyAlignment="1">
      <alignment horizontal="center" vertical="center"/>
    </xf>
    <xf numFmtId="166" fontId="0" fillId="6" borderId="30" xfId="0" applyNumberFormat="1" applyFont="1" applyFill="1" applyBorder="1" applyAlignment="1">
      <alignment horizontal="center" vertical="center"/>
    </xf>
    <xf numFmtId="1" fontId="0" fillId="9" borderId="0" xfId="0" applyNumberFormat="1" applyFill="1" applyBorder="1" applyAlignment="1">
      <alignment horizontal="center" vertical="center"/>
    </xf>
    <xf numFmtId="166" fontId="6" fillId="0" borderId="0" xfId="0" applyNumberFormat="1" applyFont="1" applyBorder="1" applyAlignment="1">
      <alignment horizontal="center" vertical="center" wrapText="1"/>
    </xf>
    <xf numFmtId="0" fontId="6" fillId="0" borderId="30" xfId="0" applyFont="1" applyBorder="1" applyAlignment="1">
      <alignment horizontal="center" vertical="center" wrapText="1"/>
    </xf>
    <xf numFmtId="166" fontId="18" fillId="0" borderId="30" xfId="0" applyNumberFormat="1" applyFont="1" applyBorder="1" applyAlignment="1">
      <alignment horizontal="center" vertical="center"/>
    </xf>
    <xf numFmtId="168" fontId="0" fillId="0" borderId="30" xfId="0" applyNumberFormat="1" applyBorder="1" applyAlignment="1">
      <alignment horizontal="center" vertical="center"/>
    </xf>
    <xf numFmtId="0" fontId="0" fillId="7" borderId="30" xfId="0" applyFill="1" applyBorder="1" applyAlignment="1">
      <alignment horizontal="center" vertical="center" wrapText="1"/>
    </xf>
    <xf numFmtId="1" fontId="0" fillId="9" borderId="30" xfId="0" applyNumberFormat="1" applyFill="1" applyBorder="1" applyAlignment="1">
      <alignment horizontal="center" vertical="center"/>
    </xf>
    <xf numFmtId="6" fontId="0" fillId="5" borderId="3" xfId="0" applyNumberFormat="1" applyFill="1" applyBorder="1" applyAlignment="1">
      <alignment horizontal="center" vertical="center"/>
    </xf>
    <xf numFmtId="0" fontId="0" fillId="5" borderId="4" xfId="0" applyFill="1" applyBorder="1" applyAlignment="1">
      <alignment horizontal="center" vertical="center"/>
    </xf>
    <xf numFmtId="0" fontId="12" fillId="6" borderId="30" xfId="0" applyFont="1" applyFill="1" applyBorder="1" applyAlignment="1">
      <alignment horizontal="center" vertical="center" textRotation="90"/>
    </xf>
    <xf numFmtId="0" fontId="12" fillId="6" borderId="30" xfId="0" applyFont="1" applyFill="1" applyBorder="1" applyAlignment="1">
      <alignment horizontal="center" vertical="center" textRotation="90" wrapText="1"/>
    </xf>
    <xf numFmtId="0" fontId="6" fillId="0" borderId="30" xfId="0" applyFont="1" applyFill="1" applyBorder="1" applyAlignment="1">
      <alignment horizontal="center" vertical="center" wrapText="1"/>
    </xf>
    <xf numFmtId="0" fontId="0" fillId="6" borderId="30" xfId="0" applyFill="1" applyBorder="1" applyAlignment="1">
      <alignment horizontal="center" vertical="center" wrapText="1"/>
    </xf>
    <xf numFmtId="0" fontId="12" fillId="11" borderId="30" xfId="0" applyFont="1" applyFill="1" applyBorder="1" applyAlignment="1">
      <alignment horizontal="left" vertical="center"/>
    </xf>
    <xf numFmtId="1" fontId="0" fillId="8" borderId="0" xfId="0" applyNumberFormat="1" applyFill="1" applyBorder="1" applyAlignment="1">
      <alignment horizontal="center" vertical="center"/>
    </xf>
    <xf numFmtId="1" fontId="0" fillId="6" borderId="0" xfId="0" applyNumberFormat="1" applyFill="1" applyBorder="1" applyAlignment="1">
      <alignment horizontal="center" vertical="center"/>
    </xf>
    <xf numFmtId="1" fontId="0" fillId="6" borderId="3" xfId="0" applyNumberFormat="1" applyFill="1" applyBorder="1" applyAlignment="1">
      <alignment horizontal="center" vertical="center"/>
    </xf>
    <xf numFmtId="166" fontId="0" fillId="4" borderId="30" xfId="0" applyNumberFormat="1" applyFont="1" applyFill="1" applyBorder="1" applyAlignment="1">
      <alignment horizontal="center" vertical="center"/>
    </xf>
    <xf numFmtId="165" fontId="0" fillId="0" borderId="24" xfId="0" applyNumberFormat="1" applyBorder="1" applyAlignment="1">
      <alignment horizontal="center" vertical="center"/>
    </xf>
    <xf numFmtId="166" fontId="0" fillId="7" borderId="24" xfId="0" applyNumberFormat="1" applyFont="1" applyFill="1" applyBorder="1" applyAlignment="1">
      <alignment horizontal="center" vertical="center"/>
    </xf>
    <xf numFmtId="1" fontId="0" fillId="7" borderId="24" xfId="0" applyNumberFormat="1" applyFont="1" applyFill="1" applyBorder="1" applyAlignment="1">
      <alignment horizontal="center" vertical="center"/>
    </xf>
    <xf numFmtId="166" fontId="0" fillId="8" borderId="24" xfId="0" applyNumberFormat="1" applyFont="1" applyFill="1" applyBorder="1" applyAlignment="1">
      <alignment horizontal="center" vertical="center"/>
    </xf>
    <xf numFmtId="1" fontId="0" fillId="8" borderId="24" xfId="0" applyNumberFormat="1" applyFont="1" applyFill="1" applyBorder="1" applyAlignment="1">
      <alignment horizontal="center" vertical="center"/>
    </xf>
    <xf numFmtId="165" fontId="12" fillId="7" borderId="24" xfId="0" applyNumberFormat="1" applyFont="1" applyFill="1" applyBorder="1" applyAlignment="1">
      <alignment horizontal="center" vertical="center"/>
    </xf>
    <xf numFmtId="0" fontId="0" fillId="0" borderId="0" xfId="0" applyBorder="1" applyAlignment="1">
      <alignment horizontal="center"/>
    </xf>
    <xf numFmtId="0" fontId="20" fillId="0" borderId="0" xfId="0" applyFont="1"/>
    <xf numFmtId="0" fontId="0" fillId="10" borderId="30" xfId="0" applyFill="1" applyBorder="1" applyAlignment="1">
      <alignment vertical="center"/>
    </xf>
    <xf numFmtId="1" fontId="12" fillId="10" borderId="30" xfId="0" applyNumberFormat="1" applyFont="1" applyFill="1" applyBorder="1" applyAlignment="1">
      <alignment horizontal="center" vertical="center" wrapText="1"/>
    </xf>
    <xf numFmtId="1" fontId="12" fillId="10" borderId="30" xfId="0" applyNumberFormat="1" applyFont="1" applyFill="1" applyBorder="1" applyAlignment="1">
      <alignment horizontal="center" vertical="center"/>
    </xf>
    <xf numFmtId="166" fontId="12" fillId="10" borderId="30" xfId="0" applyNumberFormat="1" applyFont="1" applyFill="1" applyBorder="1" applyAlignment="1">
      <alignment horizontal="center" vertical="center" wrapText="1"/>
    </xf>
    <xf numFmtId="165" fontId="12" fillId="10" borderId="30" xfId="0" applyNumberFormat="1" applyFont="1" applyFill="1" applyBorder="1" applyAlignment="1">
      <alignment horizontal="center" vertical="center" wrapText="1"/>
    </xf>
    <xf numFmtId="0" fontId="12" fillId="10" borderId="30" xfId="0" applyFont="1" applyFill="1" applyBorder="1" applyAlignment="1">
      <alignment horizontal="center" vertical="center"/>
    </xf>
    <xf numFmtId="0" fontId="0" fillId="10" borderId="30" xfId="0" applyFill="1" applyBorder="1"/>
    <xf numFmtId="0" fontId="0" fillId="10" borderId="30" xfId="0" applyFill="1" applyBorder="1" applyAlignment="1">
      <alignment horizontal="center"/>
    </xf>
    <xf numFmtId="165" fontId="0" fillId="10" borderId="30" xfId="0" applyNumberFormat="1" applyFill="1" applyBorder="1"/>
    <xf numFmtId="0" fontId="0" fillId="10" borderId="30" xfId="0" applyFill="1" applyBorder="1" applyAlignment="1"/>
    <xf numFmtId="0" fontId="12" fillId="10" borderId="30" xfId="0" applyFont="1" applyFill="1" applyBorder="1" applyAlignment="1">
      <alignment horizontal="center" vertical="center" textRotation="90"/>
    </xf>
    <xf numFmtId="0" fontId="12" fillId="10" borderId="30" xfId="0" applyFont="1" applyFill="1" applyBorder="1" applyAlignment="1">
      <alignment horizontal="center" vertical="center" textRotation="90" wrapText="1"/>
    </xf>
    <xf numFmtId="0" fontId="12" fillId="10" borderId="30" xfId="0" applyFont="1" applyFill="1" applyBorder="1" applyAlignment="1">
      <alignment horizontal="center" vertical="center" wrapText="1"/>
    </xf>
    <xf numFmtId="0" fontId="0" fillId="0" borderId="30" xfId="0" applyBorder="1" applyAlignment="1">
      <alignment horizontal="center" vertical="center"/>
    </xf>
    <xf numFmtId="166" fontId="12" fillId="10" borderId="30" xfId="0" applyNumberFormat="1" applyFont="1" applyFill="1" applyBorder="1" applyAlignment="1">
      <alignment horizontal="center" vertical="center"/>
    </xf>
    <xf numFmtId="165" fontId="0" fillId="10" borderId="30" xfId="0" applyNumberFormat="1" applyFill="1" applyBorder="1" applyAlignment="1">
      <alignment horizontal="center" vertical="center" wrapText="1"/>
    </xf>
    <xf numFmtId="0" fontId="0" fillId="10" borderId="30" xfId="0" applyFill="1" applyBorder="1" applyAlignment="1">
      <alignment horizontal="center" vertical="center"/>
    </xf>
    <xf numFmtId="166" fontId="0" fillId="5" borderId="4" xfId="0" applyNumberFormat="1" applyFill="1" applyBorder="1" applyAlignment="1">
      <alignment horizontal="center" vertical="center"/>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0" fontId="0" fillId="7" borderId="6" xfId="0" applyFill="1" applyBorder="1" applyAlignment="1">
      <alignment horizontal="center" vertical="center"/>
    </xf>
    <xf numFmtId="166" fontId="0" fillId="7" borderId="0" xfId="0" applyNumberFormat="1" applyFill="1" applyBorder="1" applyAlignment="1">
      <alignment horizontal="center" vertical="center"/>
    </xf>
    <xf numFmtId="166" fontId="0" fillId="7" borderId="30" xfId="0" applyNumberFormat="1" applyFill="1" applyBorder="1" applyAlignment="1">
      <alignment horizontal="center" vertical="center"/>
    </xf>
    <xf numFmtId="1" fontId="0" fillId="7" borderId="30" xfId="0" applyNumberFormat="1" applyFill="1" applyBorder="1" applyAlignment="1">
      <alignment horizontal="center" vertical="center"/>
    </xf>
    <xf numFmtId="0" fontId="0" fillId="8" borderId="6" xfId="0" applyFill="1" applyBorder="1" applyAlignment="1">
      <alignment horizontal="center" vertical="center"/>
    </xf>
    <xf numFmtId="166" fontId="0" fillId="8" borderId="0" xfId="0" applyNumberFormat="1" applyFill="1" applyBorder="1" applyAlignment="1">
      <alignment horizontal="center" vertical="center"/>
    </xf>
    <xf numFmtId="0" fontId="0" fillId="6" borderId="7" xfId="0" applyFill="1" applyBorder="1" applyAlignment="1">
      <alignment horizontal="center" vertical="center"/>
    </xf>
    <xf numFmtId="165" fontId="0" fillId="6" borderId="8" xfId="0" applyNumberFormat="1" applyFill="1" applyBorder="1" applyAlignment="1">
      <alignment horizontal="center" vertical="center"/>
    </xf>
    <xf numFmtId="1" fontId="0" fillId="6" borderId="8" xfId="0" applyNumberFormat="1" applyFill="1" applyBorder="1" applyAlignment="1">
      <alignment horizontal="center" vertical="center"/>
    </xf>
    <xf numFmtId="1" fontId="0" fillId="6" borderId="4" xfId="0" applyNumberFormat="1" applyFill="1" applyBorder="1" applyAlignment="1">
      <alignment horizontal="center" vertical="center"/>
    </xf>
    <xf numFmtId="0" fontId="0" fillId="10" borderId="0" xfId="0" applyFill="1"/>
    <xf numFmtId="0" fontId="0" fillId="10" borderId="0" xfId="0" applyFill="1" applyAlignment="1">
      <alignment horizontal="center"/>
    </xf>
    <xf numFmtId="166" fontId="0" fillId="10" borderId="30" xfId="0" applyNumberFormat="1" applyFill="1" applyBorder="1"/>
    <xf numFmtId="166" fontId="12" fillId="10" borderId="40" xfId="0" applyNumberFormat="1" applyFont="1" applyFill="1" applyBorder="1" applyAlignment="1">
      <alignment horizontal="center" vertical="center" wrapText="1"/>
    </xf>
    <xf numFmtId="166" fontId="19" fillId="12" borderId="39" xfId="0" applyNumberFormat="1" applyFont="1" applyFill="1" applyBorder="1" applyAlignment="1">
      <alignment horizontal="center" vertical="center" wrapText="1"/>
    </xf>
    <xf numFmtId="166" fontId="19" fillId="12" borderId="41" xfId="0" applyNumberFormat="1" applyFont="1" applyFill="1" applyBorder="1" applyAlignment="1">
      <alignment horizontal="center" vertical="center" wrapText="1"/>
    </xf>
    <xf numFmtId="166" fontId="12" fillId="10" borderId="0" xfId="0" applyNumberFormat="1" applyFont="1" applyFill="1" applyBorder="1" applyAlignment="1">
      <alignment horizontal="center" vertical="center" wrapText="1"/>
    </xf>
    <xf numFmtId="0" fontId="12" fillId="6" borderId="30" xfId="0" applyFont="1" applyFill="1" applyBorder="1" applyAlignment="1">
      <alignment horizontal="center" vertical="center"/>
    </xf>
    <xf numFmtId="0" fontId="12" fillId="6" borderId="30"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30" xfId="0" applyFont="1" applyFill="1" applyBorder="1" applyAlignment="1">
      <alignment horizontal="center" vertical="center"/>
    </xf>
    <xf numFmtId="0" fontId="0" fillId="8" borderId="30" xfId="0" applyFont="1" applyFill="1" applyBorder="1" applyAlignment="1">
      <alignment horizontal="center" vertical="center"/>
    </xf>
    <xf numFmtId="166" fontId="12" fillId="4" borderId="30" xfId="0" applyNumberFormat="1" applyFont="1" applyFill="1" applyBorder="1" applyAlignment="1">
      <alignment horizontal="center" vertical="center" wrapText="1"/>
    </xf>
    <xf numFmtId="1" fontId="12" fillId="4" borderId="30" xfId="0" applyNumberFormat="1" applyFont="1" applyFill="1" applyBorder="1" applyAlignment="1">
      <alignment horizontal="center" vertical="center" wrapText="1"/>
    </xf>
    <xf numFmtId="166" fontId="0" fillId="0" borderId="30" xfId="0" applyNumberFormat="1" applyBorder="1" applyAlignment="1">
      <alignment horizontal="center" vertical="center"/>
    </xf>
    <xf numFmtId="1" fontId="0" fillId="0" borderId="30" xfId="0" applyNumberFormat="1" applyBorder="1" applyAlignment="1">
      <alignment horizontal="center" vertical="center"/>
    </xf>
    <xf numFmtId="0" fontId="0" fillId="8" borderId="30" xfId="0" applyFont="1" applyFill="1" applyBorder="1" applyAlignment="1">
      <alignment horizontal="center" vertical="center" wrapText="1"/>
    </xf>
    <xf numFmtId="0" fontId="0" fillId="0" borderId="30" xfId="0" applyBorder="1" applyAlignment="1">
      <alignment horizontal="center" vertical="center" wrapText="1"/>
    </xf>
    <xf numFmtId="0" fontId="0" fillId="7" borderId="30" xfId="0" applyFont="1" applyFill="1" applyBorder="1" applyAlignment="1">
      <alignment horizontal="center" vertical="center"/>
    </xf>
    <xf numFmtId="1" fontId="0" fillId="4" borderId="30" xfId="0" applyNumberFormat="1" applyFill="1" applyBorder="1" applyAlignment="1">
      <alignment horizontal="center" vertical="center"/>
    </xf>
    <xf numFmtId="0" fontId="0" fillId="6" borderId="30" xfId="0" applyFill="1" applyBorder="1" applyAlignment="1">
      <alignment horizontal="center" vertical="center"/>
    </xf>
    <xf numFmtId="165" fontId="0" fillId="6" borderId="30" xfId="0" applyNumberFormat="1" applyFill="1" applyBorder="1" applyAlignment="1">
      <alignment horizontal="center" vertical="center"/>
    </xf>
    <xf numFmtId="1" fontId="0" fillId="6" borderId="30" xfId="0" applyNumberFormat="1" applyFill="1" applyBorder="1" applyAlignment="1">
      <alignment horizontal="center" vertical="center"/>
    </xf>
    <xf numFmtId="0" fontId="12" fillId="6" borderId="30" xfId="0" applyFont="1" applyFill="1" applyBorder="1" applyAlignment="1">
      <alignment horizontal="right" vertical="center"/>
    </xf>
    <xf numFmtId="165" fontId="12" fillId="6" borderId="30" xfId="0" applyNumberFormat="1" applyFont="1" applyFill="1" applyBorder="1" applyAlignment="1">
      <alignment horizontal="center" vertical="center"/>
    </xf>
    <xf numFmtId="1" fontId="12" fillId="6" borderId="30" xfId="0" applyNumberFormat="1" applyFont="1" applyFill="1" applyBorder="1" applyAlignment="1">
      <alignment horizontal="center" vertical="center"/>
    </xf>
    <xf numFmtId="0" fontId="12" fillId="6" borderId="30" xfId="0" applyFont="1" applyFill="1" applyBorder="1" applyAlignment="1">
      <alignment horizontal="center"/>
    </xf>
    <xf numFmtId="0" fontId="12" fillId="6" borderId="30" xfId="0" applyFont="1" applyFill="1" applyBorder="1"/>
    <xf numFmtId="0" fontId="0" fillId="6" borderId="30" xfId="0" applyFill="1" applyBorder="1"/>
    <xf numFmtId="0" fontId="0" fillId="6" borderId="30" xfId="0" applyFont="1" applyFill="1" applyBorder="1" applyAlignment="1">
      <alignment wrapText="1"/>
    </xf>
    <xf numFmtId="0" fontId="0" fillId="0" borderId="30" xfId="0" applyFill="1" applyBorder="1" applyAlignment="1">
      <alignment horizontal="center"/>
    </xf>
    <xf numFmtId="0" fontId="0" fillId="7" borderId="30" xfId="0" applyFill="1" applyBorder="1" applyAlignment="1">
      <alignment horizontal="center" vertical="center" wrapText="1"/>
    </xf>
    <xf numFmtId="0" fontId="0" fillId="0" borderId="30" xfId="0" applyFont="1" applyBorder="1" applyAlignment="1">
      <alignment horizontal="center" vertical="center"/>
    </xf>
    <xf numFmtId="0" fontId="0" fillId="0" borderId="30" xfId="0" applyFill="1" applyBorder="1" applyAlignment="1">
      <alignment horizontal="center" vertical="center" wrapText="1"/>
    </xf>
    <xf numFmtId="0" fontId="12" fillId="5" borderId="30" xfId="0" applyFont="1" applyFill="1" applyBorder="1" applyAlignment="1">
      <alignment horizontal="center"/>
    </xf>
    <xf numFmtId="0" fontId="12" fillId="5" borderId="30" xfId="0" applyFont="1" applyFill="1" applyBorder="1"/>
    <xf numFmtId="0" fontId="12" fillId="5" borderId="30" xfId="0" applyFont="1" applyFill="1" applyBorder="1" applyAlignment="1">
      <alignment horizontal="center" vertical="center"/>
    </xf>
    <xf numFmtId="1" fontId="12" fillId="5" borderId="30" xfId="0" applyNumberFormat="1" applyFont="1" applyFill="1" applyBorder="1" applyAlignment="1">
      <alignment horizontal="center" vertical="center"/>
    </xf>
    <xf numFmtId="0" fontId="0" fillId="0" borderId="30" xfId="0" applyBorder="1" applyAlignment="1">
      <alignment horizontal="center"/>
    </xf>
    <xf numFmtId="0" fontId="0" fillId="0" borderId="30" xfId="0" applyBorder="1"/>
    <xf numFmtId="0" fontId="12" fillId="0" borderId="30" xfId="0" applyFont="1" applyBorder="1" applyAlignment="1">
      <alignment horizontal="center" vertical="center"/>
    </xf>
    <xf numFmtId="0" fontId="0" fillId="0" borderId="30" xfId="0" applyFill="1" applyBorder="1" applyAlignment="1">
      <alignment horizontal="center" wrapText="1"/>
    </xf>
    <xf numFmtId="0" fontId="0" fillId="0" borderId="30" xfId="0" applyBorder="1" applyAlignment="1">
      <alignment wrapText="1"/>
    </xf>
    <xf numFmtId="0" fontId="0" fillId="7" borderId="30" xfId="0" applyFont="1" applyFill="1" applyBorder="1" applyAlignment="1">
      <alignment horizontal="center" vertical="center" wrapText="1"/>
    </xf>
    <xf numFmtId="1" fontId="0" fillId="0" borderId="30" xfId="0" applyNumberFormat="1" applyBorder="1" applyAlignment="1">
      <alignment horizontal="center" vertical="center" wrapText="1"/>
    </xf>
    <xf numFmtId="166" fontId="0" fillId="0" borderId="30" xfId="0" applyNumberFormat="1" applyBorder="1" applyAlignment="1">
      <alignment horizontal="center" vertical="center" wrapText="1"/>
    </xf>
    <xf numFmtId="0" fontId="0" fillId="0" borderId="30" xfId="0" applyFont="1" applyBorder="1" applyAlignment="1">
      <alignment horizontal="center" vertical="center" wrapText="1"/>
    </xf>
    <xf numFmtId="0" fontId="17" fillId="0" borderId="30" xfId="0" applyFont="1" applyFill="1" applyBorder="1" applyAlignment="1">
      <alignment horizontal="center"/>
    </xf>
    <xf numFmtId="0" fontId="17" fillId="0" borderId="30" xfId="0" applyFont="1" applyFill="1" applyBorder="1" applyAlignment="1">
      <alignment horizontal="center" vertical="center"/>
    </xf>
    <xf numFmtId="1" fontId="0" fillId="0" borderId="30" xfId="0" applyNumberFormat="1" applyFill="1" applyBorder="1" applyAlignment="1">
      <alignment horizontal="center" vertical="center" wrapText="1"/>
    </xf>
    <xf numFmtId="1" fontId="0" fillId="0" borderId="30" xfId="0" applyNumberFormat="1" applyFont="1" applyFill="1" applyBorder="1" applyAlignment="1">
      <alignment horizontal="center" vertical="center" wrapText="1"/>
    </xf>
    <xf numFmtId="0" fontId="0" fillId="7" borderId="30" xfId="0" applyFill="1" applyBorder="1" applyAlignment="1">
      <alignment horizontal="center" vertical="center"/>
    </xf>
    <xf numFmtId="165" fontId="12" fillId="5" borderId="30" xfId="0" applyNumberFormat="1" applyFont="1" applyFill="1" applyBorder="1" applyAlignment="1">
      <alignment horizontal="center" vertical="center"/>
    </xf>
    <xf numFmtId="166" fontId="12" fillId="5" borderId="30" xfId="0" applyNumberFormat="1" applyFont="1" applyFill="1" applyBorder="1" applyAlignment="1">
      <alignment horizontal="center" vertical="center"/>
    </xf>
    <xf numFmtId="0" fontId="12" fillId="5" borderId="30" xfId="0" applyFont="1" applyFill="1" applyBorder="1" applyAlignment="1">
      <alignment horizontal="center" vertical="center" wrapText="1"/>
    </xf>
    <xf numFmtId="1" fontId="17" fillId="0" borderId="39" xfId="0" applyNumberFormat="1" applyFont="1" applyBorder="1" applyAlignment="1">
      <alignment horizontal="center" vertical="center"/>
    </xf>
    <xf numFmtId="1" fontId="17" fillId="0" borderId="41" xfId="0" applyNumberFormat="1" applyFont="1" applyBorder="1" applyAlignment="1">
      <alignment horizontal="center" vertical="center"/>
    </xf>
    <xf numFmtId="0" fontId="0" fillId="6" borderId="0" xfId="0" applyFill="1"/>
    <xf numFmtId="0" fontId="0" fillId="0" borderId="42" xfId="0" applyBorder="1" applyAlignment="1">
      <alignment horizontal="center" vertical="center"/>
    </xf>
    <xf numFmtId="0" fontId="0" fillId="0" borderId="43" xfId="0" applyBorder="1" applyAlignment="1">
      <alignment horizontal="center" vertical="center"/>
    </xf>
    <xf numFmtId="0" fontId="0" fillId="0" borderId="43" xfId="0" applyFill="1" applyBorder="1" applyAlignment="1">
      <alignment horizontal="center" vertical="center"/>
    </xf>
    <xf numFmtId="166" fontId="0" fillId="0" borderId="43"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44" xfId="0" applyBorder="1" applyAlignment="1">
      <alignment horizontal="center" vertical="center"/>
    </xf>
    <xf numFmtId="0" fontId="0" fillId="7" borderId="30" xfId="0" applyFill="1" applyBorder="1" applyAlignment="1">
      <alignment horizontal="center" vertical="center" wrapText="1"/>
    </xf>
    <xf numFmtId="0" fontId="0" fillId="0" borderId="43" xfId="0" applyBorder="1" applyAlignment="1">
      <alignment horizontal="center" vertical="center" wrapText="1"/>
    </xf>
    <xf numFmtId="0" fontId="12" fillId="4" borderId="30" xfId="0" applyFont="1" applyFill="1" applyBorder="1" applyAlignment="1">
      <alignment horizontal="center" vertical="center"/>
    </xf>
    <xf numFmtId="0" fontId="0" fillId="6" borderId="24" xfId="0" applyFill="1" applyBorder="1" applyAlignment="1">
      <alignment horizontal="center" vertical="center" wrapText="1"/>
    </xf>
    <xf numFmtId="0" fontId="0" fillId="0" borderId="30" xfId="0" applyFill="1" applyBorder="1" applyAlignment="1">
      <alignment horizontal="left" vertical="center"/>
    </xf>
    <xf numFmtId="0" fontId="0" fillId="0" borderId="30" xfId="0" applyBorder="1" applyAlignment="1">
      <alignment horizontal="center" vertical="center"/>
    </xf>
    <xf numFmtId="166" fontId="0" fillId="0" borderId="30" xfId="0" applyNumberFormat="1" applyBorder="1" applyAlignment="1">
      <alignment horizontal="center" vertical="center"/>
    </xf>
    <xf numFmtId="1" fontId="0" fillId="0" borderId="30" xfId="0" applyNumberFormat="1" applyFont="1" applyBorder="1" applyAlignment="1">
      <alignment horizontal="center" vertical="center"/>
    </xf>
    <xf numFmtId="166" fontId="0" fillId="0" borderId="30" xfId="0" applyNumberFormat="1" applyFont="1" applyBorder="1" applyAlignment="1">
      <alignment horizontal="center" vertical="center"/>
    </xf>
    <xf numFmtId="0" fontId="0" fillId="0" borderId="30" xfId="0" applyFont="1" applyBorder="1" applyAlignment="1">
      <alignment horizontal="center" vertical="center"/>
    </xf>
    <xf numFmtId="166" fontId="0" fillId="4" borderId="30" xfId="0" applyNumberFormat="1" applyFont="1" applyFill="1" applyBorder="1" applyAlignment="1">
      <alignment horizontal="center" vertical="center"/>
    </xf>
    <xf numFmtId="0" fontId="12" fillId="6" borderId="6" xfId="0" applyFont="1" applyFill="1" applyBorder="1" applyAlignment="1">
      <alignment horizontal="center" vertical="center"/>
    </xf>
    <xf numFmtId="166" fontId="0" fillId="0" borderId="30" xfId="0" applyNumberFormat="1" applyBorder="1" applyAlignment="1">
      <alignment horizontal="center" vertical="center"/>
    </xf>
    <xf numFmtId="0" fontId="17" fillId="0" borderId="30" xfId="0" applyFont="1" applyBorder="1" applyAlignment="1">
      <alignment horizontal="center" vertical="center"/>
    </xf>
    <xf numFmtId="0" fontId="0" fillId="0" borderId="30" xfId="0" applyBorder="1" applyAlignment="1">
      <alignment horizontal="center" vertical="center"/>
    </xf>
    <xf numFmtId="166" fontId="0" fillId="0" borderId="30" xfId="0" applyNumberFormat="1" applyFont="1" applyBorder="1" applyAlignment="1">
      <alignment horizontal="center" vertical="center"/>
    </xf>
    <xf numFmtId="0" fontId="0" fillId="0" borderId="30" xfId="0" applyFont="1" applyBorder="1" applyAlignment="1">
      <alignment horizontal="center" vertical="center"/>
    </xf>
    <xf numFmtId="1" fontId="0" fillId="0" borderId="30" xfId="0" applyNumberFormat="1" applyFont="1" applyBorder="1" applyAlignment="1">
      <alignment horizontal="center" vertical="center"/>
    </xf>
    <xf numFmtId="0" fontId="0" fillId="0" borderId="30" xfId="0" applyFont="1" applyFill="1" applyBorder="1" applyAlignment="1">
      <alignment horizontal="center" vertical="center"/>
    </xf>
    <xf numFmtId="0" fontId="12" fillId="6" borderId="0" xfId="0" applyFont="1" applyFill="1" applyBorder="1" applyAlignment="1">
      <alignment horizontal="center" vertical="center"/>
    </xf>
    <xf numFmtId="166" fontId="8" fillId="0" borderId="30" xfId="3" applyNumberFormat="1" applyFont="1" applyBorder="1" applyAlignment="1">
      <alignment horizontal="center" vertical="center"/>
    </xf>
    <xf numFmtId="0" fontId="0" fillId="6" borderId="0" xfId="0" applyFill="1" applyBorder="1" applyAlignment="1">
      <alignment vertical="center"/>
    </xf>
    <xf numFmtId="6" fontId="0" fillId="5" borderId="0" xfId="0" applyNumberFormat="1" applyFill="1" applyBorder="1" applyAlignment="1">
      <alignment horizontal="center" vertical="center"/>
    </xf>
    <xf numFmtId="0" fontId="0" fillId="6" borderId="3" xfId="0" applyFill="1" applyBorder="1" applyAlignment="1">
      <alignment vertical="center"/>
    </xf>
    <xf numFmtId="1" fontId="0" fillId="5" borderId="8" xfId="0" applyNumberFormat="1" applyFill="1" applyBorder="1" applyAlignment="1">
      <alignment horizontal="center" vertical="center"/>
    </xf>
    <xf numFmtId="0" fontId="0" fillId="5" borderId="0" xfId="0" applyFill="1" applyBorder="1" applyAlignment="1">
      <alignment vertical="center"/>
    </xf>
    <xf numFmtId="0" fontId="0" fillId="5" borderId="3" xfId="0" applyFill="1" applyBorder="1" applyAlignment="1">
      <alignment vertical="center"/>
    </xf>
    <xf numFmtId="0" fontId="0" fillId="5" borderId="8" xfId="0" applyFill="1" applyBorder="1" applyAlignment="1">
      <alignment vertical="center"/>
    </xf>
    <xf numFmtId="0" fontId="0" fillId="5" borderId="4" xfId="0" applyFill="1" applyBorder="1" applyAlignment="1">
      <alignment vertical="center"/>
    </xf>
    <xf numFmtId="0" fontId="13" fillId="0" borderId="0" xfId="0" applyFont="1"/>
    <xf numFmtId="0" fontId="13" fillId="0" borderId="0" xfId="0" applyFont="1" applyAlignment="1">
      <alignment horizontal="center"/>
    </xf>
    <xf numFmtId="1" fontId="0" fillId="0" borderId="3" xfId="0" applyNumberFormat="1" applyFill="1" applyBorder="1" applyAlignment="1">
      <alignment horizontal="center" vertical="center"/>
    </xf>
    <xf numFmtId="2" fontId="0" fillId="0" borderId="0" xfId="0" applyNumberFormat="1" applyAlignment="1">
      <alignment horizontal="right" vertical="center"/>
    </xf>
    <xf numFmtId="0" fontId="0" fillId="0" borderId="0" xfId="0" applyAlignment="1">
      <alignment horizontal="left"/>
    </xf>
    <xf numFmtId="0" fontId="6" fillId="0" borderId="24" xfId="0" applyFont="1" applyFill="1" applyBorder="1" applyAlignment="1">
      <alignment horizontal="center" vertical="center" wrapText="1"/>
    </xf>
    <xf numFmtId="1" fontId="0" fillId="0" borderId="24" xfId="0" applyNumberFormat="1" applyBorder="1" applyAlignment="1">
      <alignment horizontal="center" vertical="center"/>
    </xf>
    <xf numFmtId="0" fontId="15" fillId="10" borderId="1" xfId="0" applyFont="1" applyFill="1" applyBorder="1" applyAlignment="1">
      <alignment horizontal="center" vertical="center"/>
    </xf>
    <xf numFmtId="164" fontId="0" fillId="4" borderId="1" xfId="0" applyNumberFormat="1" applyFont="1" applyFill="1" applyBorder="1" applyAlignment="1">
      <alignment horizontal="center" vertical="center"/>
    </xf>
    <xf numFmtId="165" fontId="0" fillId="0" borderId="1" xfId="0" applyNumberFormat="1" applyFont="1" applyBorder="1" applyAlignment="1">
      <alignment horizontal="center" vertical="center"/>
    </xf>
    <xf numFmtId="165" fontId="0" fillId="4"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165" fontId="0" fillId="4" borderId="1" xfId="0" quotePrefix="1" applyNumberFormat="1" applyFont="1" applyFill="1" applyBorder="1" applyAlignment="1">
      <alignment horizontal="center" vertical="center"/>
    </xf>
    <xf numFmtId="165" fontId="0" fillId="0" borderId="1" xfId="0" quotePrefix="1" applyNumberFormat="1" applyFont="1" applyBorder="1" applyAlignment="1">
      <alignment horizontal="center" vertical="center"/>
    </xf>
    <xf numFmtId="165" fontId="0" fillId="0" borderId="1" xfId="0" applyNumberFormat="1" applyBorder="1" applyAlignment="1">
      <alignment horizontal="center" vertical="center"/>
    </xf>
    <xf numFmtId="0" fontId="16" fillId="6" borderId="1" xfId="0" applyFont="1" applyFill="1" applyBorder="1" applyAlignment="1">
      <alignment horizontal="center" vertical="center"/>
    </xf>
    <xf numFmtId="164" fontId="14" fillId="6" borderId="1" xfId="0" applyNumberFormat="1" applyFont="1" applyFill="1" applyBorder="1" applyAlignment="1">
      <alignment horizontal="center" vertical="center"/>
    </xf>
    <xf numFmtId="1" fontId="14" fillId="6" borderId="1" xfId="0" applyNumberFormat="1" applyFont="1" applyFill="1" applyBorder="1" applyAlignment="1">
      <alignment horizontal="center" vertic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0" fontId="20" fillId="0" borderId="0" xfId="0" applyFont="1" applyAlignment="1">
      <alignment horizontal="left" vertical="center"/>
    </xf>
    <xf numFmtId="1" fontId="0" fillId="4" borderId="1" xfId="0" applyNumberFormat="1" applyFont="1" applyFill="1" applyBorder="1" applyAlignment="1">
      <alignment horizontal="center" vertical="center"/>
    </xf>
    <xf numFmtId="164" fontId="0" fillId="7" borderId="24" xfId="0" applyNumberFormat="1" applyFill="1" applyBorder="1" applyAlignment="1">
      <alignment horizontal="center" vertical="center"/>
    </xf>
    <xf numFmtId="164" fontId="12" fillId="6" borderId="1" xfId="0" applyNumberFormat="1" applyFont="1" applyFill="1" applyBorder="1" applyAlignment="1">
      <alignment horizontal="center" vertical="center"/>
    </xf>
    <xf numFmtId="1" fontId="12" fillId="6" borderId="1" xfId="0" applyNumberFormat="1" applyFont="1" applyFill="1" applyBorder="1" applyAlignment="1">
      <alignment horizontal="center" vertical="center"/>
    </xf>
    <xf numFmtId="1" fontId="12" fillId="6" borderId="28" xfId="0" applyNumberFormat="1" applyFont="1" applyFill="1" applyBorder="1" applyAlignment="1">
      <alignment horizontal="center" vertical="center"/>
    </xf>
    <xf numFmtId="1" fontId="12" fillId="6" borderId="34" xfId="0" applyNumberFormat="1" applyFont="1" applyFill="1" applyBorder="1" applyAlignment="1">
      <alignment horizontal="center" vertical="center"/>
    </xf>
    <xf numFmtId="1" fontId="0" fillId="0" borderId="30" xfId="0" applyNumberFormat="1" applyFont="1" applyBorder="1" applyAlignment="1">
      <alignment horizontal="center" vertical="center"/>
    </xf>
    <xf numFmtId="0" fontId="0" fillId="0" borderId="3" xfId="0" applyNumberFormat="1" applyBorder="1" applyAlignment="1">
      <alignment horizontal="center" vertical="center"/>
    </xf>
    <xf numFmtId="9" fontId="8" fillId="0" borderId="0" xfId="6" applyFont="1" applyAlignment="1">
      <alignment horizontal="center"/>
    </xf>
    <xf numFmtId="1" fontId="0" fillId="0" borderId="0" xfId="0" applyNumberFormat="1" applyAlignment="1">
      <alignment horizontal="center"/>
    </xf>
    <xf numFmtId="0" fontId="11" fillId="3" borderId="23" xfId="5" applyAlignment="1">
      <alignment horizontal="center"/>
    </xf>
    <xf numFmtId="0" fontId="9" fillId="2" borderId="45" xfId="1" applyBorder="1"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21" fillId="0" borderId="15" xfId="0" applyFont="1" applyBorder="1"/>
    <xf numFmtId="0" fontId="11" fillId="3" borderId="23" xfId="5" applyAlignment="1">
      <alignment horizontal="center"/>
    </xf>
    <xf numFmtId="9" fontId="12" fillId="0" borderId="0" xfId="6" applyFont="1" applyAlignment="1">
      <alignment horizontal="center"/>
    </xf>
    <xf numFmtId="0" fontId="0" fillId="0" borderId="0" xfId="0" applyAlignment="1">
      <alignment horizontal="center"/>
    </xf>
    <xf numFmtId="0" fontId="16" fillId="0" borderId="12" xfId="0" applyFont="1" applyBorder="1"/>
    <xf numFmtId="0" fontId="0" fillId="0" borderId="0" xfId="0" applyAlignment="1">
      <alignment horizontal="center"/>
    </xf>
    <xf numFmtId="0" fontId="12" fillId="10" borderId="0" xfId="0" applyFont="1" applyFill="1" applyBorder="1" applyAlignment="1">
      <alignment horizontal="center" vertical="center"/>
    </xf>
    <xf numFmtId="44" fontId="0" fillId="0" borderId="12" xfId="0" applyNumberFormat="1" applyBorder="1"/>
    <xf numFmtId="44" fontId="0" fillId="0" borderId="13" xfId="0" applyNumberFormat="1" applyBorder="1"/>
    <xf numFmtId="44" fontId="0" fillId="0" borderId="14" xfId="0" applyNumberFormat="1" applyBorder="1"/>
    <xf numFmtId="44" fontId="0" fillId="0" borderId="16" xfId="0" applyNumberFormat="1" applyBorder="1"/>
    <xf numFmtId="44" fontId="18" fillId="0" borderId="109" xfId="5" applyNumberFormat="1" applyFont="1" applyFill="1" applyBorder="1" applyAlignment="1">
      <alignment horizontal="center"/>
    </xf>
    <xf numFmtId="172" fontId="0" fillId="0" borderId="110" xfId="3" applyNumberFormat="1" applyFont="1"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44" fontId="0" fillId="0" borderId="12" xfId="3" applyFont="1" applyBorder="1"/>
    <xf numFmtId="172" fontId="0" fillId="0" borderId="13" xfId="3" applyNumberFormat="1" applyFont="1" applyBorder="1"/>
    <xf numFmtId="44" fontId="11" fillId="3" borderId="111" xfId="5" applyNumberFormat="1" applyBorder="1"/>
    <xf numFmtId="172" fontId="0" fillId="0" borderId="16" xfId="3" applyNumberFormat="1" applyFont="1" applyBorder="1"/>
    <xf numFmtId="0" fontId="12" fillId="0" borderId="112" xfId="0" applyFont="1" applyBorder="1"/>
    <xf numFmtId="0" fontId="0" fillId="0" borderId="113" xfId="0" applyBorder="1"/>
    <xf numFmtId="0" fontId="0" fillId="0" borderId="114" xfId="0" applyBorder="1"/>
    <xf numFmtId="0" fontId="0" fillId="0" borderId="112" xfId="0" applyBorder="1"/>
    <xf numFmtId="9" fontId="11" fillId="0" borderId="0" xfId="5" applyNumberFormat="1" applyFill="1" applyBorder="1" applyAlignment="1">
      <alignment horizontal="center"/>
    </xf>
    <xf numFmtId="172" fontId="0" fillId="0" borderId="12" xfId="0" applyNumberFormat="1" applyBorder="1"/>
    <xf numFmtId="172" fontId="0" fillId="0" borderId="0" xfId="0" applyNumberFormat="1" applyBorder="1"/>
    <xf numFmtId="172" fontId="0" fillId="0" borderId="13" xfId="0" applyNumberFormat="1" applyBorder="1"/>
    <xf numFmtId="0" fontId="14" fillId="0" borderId="0" xfId="0" applyFont="1"/>
    <xf numFmtId="172" fontId="12" fillId="0" borderId="0" xfId="0" applyNumberFormat="1" applyFont="1" applyBorder="1" applyAlignment="1">
      <alignment horizontal="center"/>
    </xf>
    <xf numFmtId="172" fontId="12" fillId="0" borderId="13" xfId="0" applyNumberFormat="1" applyFont="1" applyBorder="1" applyAlignment="1">
      <alignment horizontal="center"/>
    </xf>
    <xf numFmtId="172" fontId="12" fillId="0" borderId="12" xfId="0" applyNumberFormat="1" applyFont="1" applyBorder="1" applyAlignment="1">
      <alignment horizontal="center"/>
    </xf>
    <xf numFmtId="172" fontId="12" fillId="0" borderId="14" xfId="0" applyNumberFormat="1" applyFont="1" applyBorder="1" applyAlignment="1">
      <alignment horizontal="center"/>
    </xf>
    <xf numFmtId="172" fontId="12" fillId="0" borderId="15" xfId="0" applyNumberFormat="1" applyFont="1" applyBorder="1" applyAlignment="1">
      <alignment horizontal="center"/>
    </xf>
    <xf numFmtId="172" fontId="12" fillId="0" borderId="16" xfId="0" applyNumberFormat="1" applyFont="1" applyBorder="1" applyAlignment="1">
      <alignment horizontal="center"/>
    </xf>
    <xf numFmtId="0" fontId="12" fillId="0" borderId="0" xfId="0" applyFont="1" applyBorder="1" applyAlignment="1">
      <alignment horizontal="center" vertical="center"/>
    </xf>
    <xf numFmtId="9" fontId="11" fillId="3" borderId="23" xfId="5" applyNumberFormat="1" applyBorder="1" applyAlignment="1">
      <alignment horizontal="center" vertical="center"/>
    </xf>
    <xf numFmtId="0" fontId="12" fillId="0" borderId="0" xfId="0" applyFont="1" applyBorder="1" applyAlignment="1">
      <alignment horizontal="center"/>
    </xf>
    <xf numFmtId="9" fontId="11" fillId="3" borderId="116" xfId="5" applyNumberFormat="1" applyBorder="1" applyAlignment="1">
      <alignment horizontal="center" vertical="center"/>
    </xf>
    <xf numFmtId="9" fontId="11" fillId="3" borderId="117" xfId="5" applyNumberFormat="1" applyBorder="1" applyAlignment="1">
      <alignment horizontal="center" vertical="center"/>
    </xf>
    <xf numFmtId="9" fontId="11" fillId="3" borderId="118" xfId="5" applyNumberFormat="1" applyBorder="1" applyAlignment="1">
      <alignment horizontal="center" vertical="center"/>
    </xf>
    <xf numFmtId="1" fontId="14" fillId="0" borderId="12" xfId="0" applyNumberFormat="1" applyFont="1" applyFill="1" applyBorder="1" applyAlignment="1">
      <alignment horizontal="center"/>
    </xf>
    <xf numFmtId="1" fontId="14" fillId="0" borderId="13" xfId="0" applyNumberFormat="1" applyFont="1" applyFill="1" applyBorder="1" applyAlignment="1">
      <alignment horizontal="center"/>
    </xf>
    <xf numFmtId="1" fontId="14" fillId="0" borderId="14" xfId="0" applyNumberFormat="1" applyFont="1" applyFill="1" applyBorder="1" applyAlignment="1">
      <alignment horizontal="center"/>
    </xf>
    <xf numFmtId="1" fontId="14" fillId="0" borderId="16" xfId="0" applyNumberFormat="1"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1" fontId="0" fillId="0" borderId="12" xfId="0" applyNumberFormat="1" applyFill="1" applyBorder="1" applyAlignment="1">
      <alignment horizontal="center"/>
    </xf>
    <xf numFmtId="1" fontId="0" fillId="0" borderId="13" xfId="0" applyNumberFormat="1" applyFill="1" applyBorder="1" applyAlignment="1">
      <alignment horizont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3" xfId="0" applyFont="1" applyBorder="1" applyAlignment="1">
      <alignment horizontal="center" vertical="center"/>
    </xf>
    <xf numFmtId="9" fontId="12" fillId="0" borderId="12" xfId="6" applyFont="1" applyBorder="1" applyAlignment="1">
      <alignment horizontal="center"/>
    </xf>
    <xf numFmtId="9" fontId="12" fillId="0" borderId="13" xfId="6" applyFont="1" applyBorder="1" applyAlignment="1">
      <alignment horizontal="center"/>
    </xf>
    <xf numFmtId="0" fontId="12" fillId="10" borderId="12" xfId="0" applyFont="1" applyFill="1" applyBorder="1" applyAlignment="1">
      <alignment horizontal="center" vertical="center"/>
    </xf>
    <xf numFmtId="0" fontId="12" fillId="10" borderId="13" xfId="0" applyFont="1" applyFill="1" applyBorder="1" applyAlignment="1">
      <alignment horizontal="center" vertical="center"/>
    </xf>
    <xf numFmtId="0" fontId="0" fillId="10" borderId="12" xfId="0" applyFill="1" applyBorder="1" applyAlignment="1">
      <alignment horizontal="center"/>
    </xf>
    <xf numFmtId="0" fontId="0" fillId="10" borderId="13" xfId="0" applyFill="1" applyBorder="1" applyAlignment="1">
      <alignment horizontal="center"/>
    </xf>
    <xf numFmtId="0" fontId="0" fillId="10" borderId="0" xfId="0" applyFill="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172" fontId="12" fillId="0" borderId="0" xfId="3" applyNumberFormat="1" applyFont="1" applyBorder="1" applyAlignment="1">
      <alignment horizontal="center"/>
    </xf>
    <xf numFmtId="0" fontId="23" fillId="13" borderId="12" xfId="0" applyFont="1" applyFill="1" applyBorder="1" applyAlignment="1">
      <alignment horizontal="center"/>
    </xf>
    <xf numFmtId="0" fontId="23" fillId="13" borderId="13" xfId="0" applyFont="1" applyFill="1" applyBorder="1" applyAlignment="1">
      <alignment horizontal="center"/>
    </xf>
    <xf numFmtId="0" fontId="23" fillId="13" borderId="0" xfId="0" applyFont="1" applyFill="1" applyBorder="1" applyAlignment="1">
      <alignment horizontal="center"/>
    </xf>
    <xf numFmtId="0" fontId="14" fillId="0" borderId="114" xfId="0" applyFont="1" applyBorder="1" applyAlignment="1">
      <alignment horizontal="center" vertical="center"/>
    </xf>
    <xf numFmtId="0" fontId="0" fillId="0" borderId="0" xfId="0" applyBorder="1" applyAlignment="1"/>
    <xf numFmtId="166" fontId="0" fillId="0" borderId="12" xfId="0" applyNumberFormat="1" applyFont="1" applyBorder="1"/>
    <xf numFmtId="166" fontId="0" fillId="0" borderId="0" xfId="0" applyNumberFormat="1" applyFont="1" applyBorder="1"/>
    <xf numFmtId="166" fontId="0" fillId="0" borderId="14" xfId="0" applyNumberFormat="1" applyFont="1" applyBorder="1"/>
    <xf numFmtId="166" fontId="0" fillId="0" borderId="15" xfId="0" applyNumberFormat="1" applyFont="1" applyBorder="1"/>
    <xf numFmtId="166" fontId="0" fillId="0" borderId="12" xfId="0" applyNumberFormat="1" applyFont="1" applyFill="1" applyBorder="1" applyAlignment="1"/>
    <xf numFmtId="166" fontId="0" fillId="0" borderId="120" xfId="0" applyNumberFormat="1" applyFont="1" applyBorder="1"/>
    <xf numFmtId="166" fontId="0" fillId="0" borderId="121" xfId="0" applyNumberFormat="1" applyFont="1" applyBorder="1"/>
    <xf numFmtId="0" fontId="23" fillId="14" borderId="0" xfId="0" applyFont="1" applyFill="1" applyBorder="1" applyAlignment="1">
      <alignment horizontal="center"/>
    </xf>
    <xf numFmtId="0" fontId="18" fillId="8" borderId="0" xfId="0" applyFont="1" applyFill="1" applyBorder="1" applyAlignment="1">
      <alignment horizontal="center"/>
    </xf>
    <xf numFmtId="0" fontId="18" fillId="8" borderId="13" xfId="0" applyFont="1" applyFill="1" applyBorder="1" applyAlignment="1">
      <alignment horizontal="center"/>
    </xf>
    <xf numFmtId="0" fontId="23" fillId="16" borderId="0" xfId="0" applyFont="1" applyFill="1" applyBorder="1" applyAlignment="1">
      <alignment horizontal="center"/>
    </xf>
    <xf numFmtId="0" fontId="0" fillId="9" borderId="0" xfId="0" applyFill="1" applyBorder="1" applyAlignment="1">
      <alignment horizontal="center"/>
    </xf>
    <xf numFmtId="0" fontId="0" fillId="9" borderId="13" xfId="0" applyFill="1" applyBorder="1" applyAlignment="1">
      <alignment horizontal="center"/>
    </xf>
    <xf numFmtId="172" fontId="0" fillId="0" borderId="10" xfId="0" applyNumberFormat="1" applyBorder="1" applyAlignment="1">
      <alignment horizontal="center"/>
    </xf>
    <xf numFmtId="0" fontId="12" fillId="0" borderId="0" xfId="0" applyFont="1" applyBorder="1" applyAlignment="1">
      <alignment horizontal="right"/>
    </xf>
    <xf numFmtId="0" fontId="0" fillId="9" borderId="9" xfId="0" applyFill="1" applyBorder="1" applyAlignment="1">
      <alignment horizontal="center"/>
    </xf>
    <xf numFmtId="0" fontId="0" fillId="9" borderId="10" xfId="0" applyFill="1" applyBorder="1" applyAlignment="1">
      <alignment horizontal="center"/>
    </xf>
    <xf numFmtId="0" fontId="0" fillId="9" borderId="11" xfId="0" applyFill="1" applyBorder="1" applyAlignment="1">
      <alignment horizontal="center"/>
    </xf>
    <xf numFmtId="0" fontId="0" fillId="15" borderId="9" xfId="0" applyFill="1" applyBorder="1" applyAlignment="1">
      <alignment horizontal="center"/>
    </xf>
    <xf numFmtId="0" fontId="0" fillId="15" borderId="10" xfId="0" applyFill="1" applyBorder="1" applyAlignment="1">
      <alignment horizontal="center"/>
    </xf>
    <xf numFmtId="0" fontId="0" fillId="15" borderId="11" xfId="0" applyFill="1" applyBorder="1" applyAlignment="1">
      <alignment horizontal="center"/>
    </xf>
    <xf numFmtId="0" fontId="0" fillId="9" borderId="113" xfId="0" applyFill="1" applyBorder="1" applyAlignment="1">
      <alignment horizontal="center"/>
    </xf>
    <xf numFmtId="0" fontId="18" fillId="17" borderId="12" xfId="0" applyFont="1" applyFill="1" applyBorder="1" applyAlignment="1">
      <alignment horizontal="center"/>
    </xf>
    <xf numFmtId="0" fontId="18" fillId="17" borderId="0" xfId="0" applyFont="1" applyFill="1" applyBorder="1" applyAlignment="1">
      <alignment horizontal="center"/>
    </xf>
    <xf numFmtId="0" fontId="18" fillId="18" borderId="12" xfId="0" applyFont="1" applyFill="1" applyBorder="1" applyAlignment="1">
      <alignment horizontal="center"/>
    </xf>
    <xf numFmtId="0" fontId="18" fillId="18" borderId="0" xfId="0" applyFont="1" applyFill="1" applyBorder="1" applyAlignment="1">
      <alignment horizontal="center"/>
    </xf>
    <xf numFmtId="0" fontId="18" fillId="18" borderId="120" xfId="0" applyFont="1" applyFill="1" applyBorder="1" applyAlignment="1">
      <alignment horizontal="center"/>
    </xf>
    <xf numFmtId="9" fontId="8" fillId="0" borderId="12" xfId="6" applyFont="1" applyBorder="1" applyAlignment="1">
      <alignment horizontal="right"/>
    </xf>
    <xf numFmtId="9" fontId="12" fillId="0" borderId="12" xfId="6" applyFont="1" applyBorder="1" applyAlignment="1">
      <alignment horizontal="center" vertical="center"/>
    </xf>
    <xf numFmtId="9" fontId="12" fillId="0" borderId="14" xfId="6" applyFont="1" applyBorder="1" applyAlignment="1">
      <alignment horizontal="center" vertical="center"/>
    </xf>
    <xf numFmtId="0" fontId="0" fillId="0" borderId="15" xfId="0" applyBorder="1" applyAlignment="1">
      <alignment horizontal="center"/>
    </xf>
    <xf numFmtId="0" fontId="12" fillId="0" borderId="16" xfId="0" applyFont="1" applyBorder="1" applyAlignment="1">
      <alignment horizontal="right" vertical="center"/>
    </xf>
    <xf numFmtId="0" fontId="12" fillId="10" borderId="0" xfId="0" applyFont="1" applyFill="1" applyBorder="1" applyAlignment="1">
      <alignment horizontal="center" vertical="center"/>
    </xf>
    <xf numFmtId="0" fontId="12" fillId="10" borderId="0" xfId="0" applyFont="1" applyFill="1" applyBorder="1" applyAlignment="1">
      <alignment horizontal="center" vertical="center"/>
    </xf>
    <xf numFmtId="9" fontId="11" fillId="0" borderId="115" xfId="5" applyNumberFormat="1" applyFill="1" applyBorder="1" applyAlignment="1">
      <alignment horizontal="center" vertical="center"/>
    </xf>
    <xf numFmtId="9" fontId="11" fillId="0" borderId="111" xfId="5" applyNumberFormat="1" applyFill="1" applyBorder="1" applyAlignment="1">
      <alignment horizontal="center" vertical="center"/>
    </xf>
    <xf numFmtId="166" fontId="0" fillId="0" borderId="0" xfId="0" applyNumberFormat="1" applyFont="1" applyFill="1" applyBorder="1" applyAlignment="1"/>
    <xf numFmtId="166" fontId="0" fillId="0" borderId="13" xfId="0" applyNumberFormat="1" applyFont="1" applyFill="1" applyBorder="1" applyAlignment="1"/>
    <xf numFmtId="0" fontId="16" fillId="0" borderId="0" xfId="0" applyFont="1" applyAlignment="1">
      <alignment horizontal="right"/>
    </xf>
    <xf numFmtId="172" fontId="25" fillId="0" borderId="13" xfId="0" applyNumberFormat="1" applyFont="1" applyFill="1" applyBorder="1" applyAlignment="1"/>
    <xf numFmtId="0" fontId="12" fillId="0" borderId="15" xfId="0" applyFont="1" applyBorder="1" applyAlignment="1">
      <alignment horizontal="right" vertical="center"/>
    </xf>
    <xf numFmtId="9" fontId="11" fillId="3" borderId="23" xfId="5" applyNumberFormat="1" applyAlignment="1">
      <alignment horizontal="center"/>
    </xf>
    <xf numFmtId="0" fontId="22" fillId="13" borderId="112" xfId="0" applyFont="1" applyFill="1" applyBorder="1" applyAlignment="1">
      <alignment horizontal="center" vertical="center"/>
    </xf>
    <xf numFmtId="0" fontId="22" fillId="13" borderId="113" xfId="0" applyFont="1" applyFill="1" applyBorder="1" applyAlignment="1">
      <alignment horizontal="center" vertical="center"/>
    </xf>
    <xf numFmtId="0" fontId="12" fillId="10" borderId="113" xfId="0" applyFont="1" applyFill="1" applyBorder="1" applyAlignment="1">
      <alignment horizontal="center" vertical="center"/>
    </xf>
    <xf numFmtId="0" fontId="12" fillId="0" borderId="12" xfId="0" applyFont="1" applyBorder="1"/>
    <xf numFmtId="0" fontId="12" fillId="0" borderId="0" xfId="0" applyFont="1" applyBorder="1"/>
    <xf numFmtId="0" fontId="12" fillId="0" borderId="13" xfId="0" applyFont="1" applyBorder="1"/>
    <xf numFmtId="0" fontId="14" fillId="0" borderId="113" xfId="0" applyFont="1" applyBorder="1" applyAlignment="1">
      <alignment horizontal="center" vertical="center"/>
    </xf>
    <xf numFmtId="0" fontId="0" fillId="10" borderId="12" xfId="0" applyFill="1" applyBorder="1"/>
    <xf numFmtId="1" fontId="0" fillId="0" borderId="12" xfId="0" applyNumberFormat="1" applyBorder="1"/>
    <xf numFmtId="1" fontId="0" fillId="0" borderId="13" xfId="0" applyNumberFormat="1" applyBorder="1"/>
    <xf numFmtId="0" fontId="18" fillId="17" borderId="13" xfId="0" applyFont="1" applyFill="1" applyBorder="1" applyAlignment="1">
      <alignment horizontal="center"/>
    </xf>
    <xf numFmtId="166" fontId="0" fillId="0" borderId="13" xfId="0" applyNumberFormat="1" applyFont="1" applyBorder="1"/>
    <xf numFmtId="166" fontId="0" fillId="0" borderId="16" xfId="0" applyNumberFormat="1" applyFont="1" applyBorder="1"/>
    <xf numFmtId="0" fontId="18" fillId="8" borderId="113" xfId="0" applyFont="1" applyFill="1" applyBorder="1" applyAlignment="1">
      <alignment horizontal="center"/>
    </xf>
    <xf numFmtId="172" fontId="0" fillId="0" borderId="113" xfId="0" applyNumberFormat="1" applyBorder="1"/>
    <xf numFmtId="0" fontId="23" fillId="14" borderId="13" xfId="0" applyFont="1" applyFill="1" applyBorder="1" applyAlignment="1">
      <alignment horizontal="center"/>
    </xf>
    <xf numFmtId="1" fontId="12" fillId="0" borderId="12" xfId="0" applyNumberFormat="1" applyFont="1" applyBorder="1"/>
    <xf numFmtId="1" fontId="12" fillId="0" borderId="13" xfId="0" applyNumberFormat="1" applyFont="1" applyBorder="1"/>
    <xf numFmtId="172" fontId="12" fillId="0" borderId="0" xfId="0" applyNumberFormat="1" applyFont="1"/>
    <xf numFmtId="172" fontId="12" fillId="0" borderId="113" xfId="0" applyNumberFormat="1" applyFont="1" applyBorder="1"/>
    <xf numFmtId="0" fontId="25" fillId="0" borderId="0" xfId="0" applyFont="1"/>
    <xf numFmtId="0" fontId="12" fillId="0" borderId="0" xfId="0" applyFont="1" applyBorder="1" applyAlignment="1">
      <alignment horizontal="right" vertical="center"/>
    </xf>
    <xf numFmtId="0" fontId="18" fillId="18" borderId="13" xfId="0" applyFont="1" applyFill="1" applyBorder="1" applyAlignment="1">
      <alignment horizontal="center"/>
    </xf>
    <xf numFmtId="9" fontId="8" fillId="0" borderId="13" xfId="6" applyFont="1" applyBorder="1" applyAlignment="1">
      <alignment horizontal="center"/>
    </xf>
    <xf numFmtId="172" fontId="0" fillId="0" borderId="114" xfId="0" applyNumberFormat="1" applyBorder="1"/>
    <xf numFmtId="0" fontId="0" fillId="9" borderId="12" xfId="0" applyFill="1" applyBorder="1" applyAlignment="1">
      <alignment horizontal="center"/>
    </xf>
    <xf numFmtId="172" fontId="8" fillId="0" borderId="113" xfId="3" applyNumberFormat="1" applyFont="1" applyBorder="1"/>
    <xf numFmtId="166" fontId="12" fillId="0" borderId="113" xfId="0" applyNumberFormat="1" applyFont="1" applyBorder="1"/>
    <xf numFmtId="166" fontId="0" fillId="0" borderId="113" xfId="0" applyNumberFormat="1" applyBorder="1"/>
    <xf numFmtId="166" fontId="27" fillId="0" borderId="113" xfId="7" applyNumberFormat="1" applyFont="1" applyFill="1" applyBorder="1"/>
    <xf numFmtId="166" fontId="0" fillId="0" borderId="114" xfId="0" applyNumberFormat="1" applyBorder="1"/>
    <xf numFmtId="172" fontId="12" fillId="0" borderId="113" xfId="0" applyNumberFormat="1" applyFont="1" applyBorder="1" applyAlignment="1">
      <alignment horizontal="center"/>
    </xf>
    <xf numFmtId="9" fontId="12" fillId="0" borderId="16" xfId="6" applyFont="1" applyBorder="1" applyAlignment="1">
      <alignment horizontal="center"/>
    </xf>
    <xf numFmtId="0" fontId="11" fillId="3" borderId="23" xfId="5"/>
    <xf numFmtId="0" fontId="0" fillId="10" borderId="113" xfId="0" applyFill="1" applyBorder="1"/>
    <xf numFmtId="9" fontId="11" fillId="3" borderId="123" xfId="5" applyNumberFormat="1" applyBorder="1" applyAlignment="1">
      <alignment horizontal="center"/>
    </xf>
    <xf numFmtId="9" fontId="11" fillId="3" borderId="124" xfId="5" applyNumberFormat="1" applyBorder="1" applyAlignment="1">
      <alignment horizontal="center"/>
    </xf>
    <xf numFmtId="173" fontId="0" fillId="0" borderId="113" xfId="0" applyNumberFormat="1" applyBorder="1"/>
    <xf numFmtId="173" fontId="0" fillId="0" borderId="114" xfId="0" applyNumberFormat="1" applyBorder="1"/>
    <xf numFmtId="0" fontId="0" fillId="15" borderId="122" xfId="0" applyFill="1" applyBorder="1" applyAlignment="1">
      <alignment horizontal="center"/>
    </xf>
    <xf numFmtId="0" fontId="0" fillId="9" borderId="122" xfId="0" applyFill="1" applyBorder="1" applyAlignment="1">
      <alignment horizontal="center"/>
    </xf>
    <xf numFmtId="0" fontId="14" fillId="20" borderId="12" xfId="0" applyFont="1" applyFill="1" applyBorder="1" applyAlignment="1">
      <alignment horizontal="center" vertical="center"/>
    </xf>
    <xf numFmtId="0" fontId="14" fillId="20" borderId="0" xfId="0" applyFont="1" applyFill="1" applyBorder="1" applyAlignment="1">
      <alignment horizontal="center" vertical="center"/>
    </xf>
    <xf numFmtId="0" fontId="14" fillId="20" borderId="13" xfId="0" applyFont="1" applyFill="1" applyBorder="1" applyAlignment="1">
      <alignment horizontal="center" vertical="center"/>
    </xf>
    <xf numFmtId="0" fontId="12" fillId="20" borderId="113" xfId="0" applyFont="1" applyFill="1" applyBorder="1" applyAlignment="1">
      <alignment horizontal="center"/>
    </xf>
    <xf numFmtId="0" fontId="0" fillId="20" borderId="12" xfId="0" applyFill="1" applyBorder="1" applyAlignment="1">
      <alignment horizontal="center" vertical="center"/>
    </xf>
    <xf numFmtId="0" fontId="0" fillId="20" borderId="0" xfId="0" applyFill="1" applyBorder="1" applyAlignment="1">
      <alignment horizontal="center" vertical="center"/>
    </xf>
    <xf numFmtId="0" fontId="0" fillId="20" borderId="13" xfId="0" applyFill="1" applyBorder="1" applyAlignment="1">
      <alignment horizontal="center" vertical="center"/>
    </xf>
    <xf numFmtId="166" fontId="0" fillId="20" borderId="12" xfId="0" applyNumberFormat="1" applyFont="1" applyFill="1" applyBorder="1"/>
    <xf numFmtId="166" fontId="0" fillId="20" borderId="0" xfId="0" applyNumberFormat="1" applyFont="1" applyFill="1" applyBorder="1"/>
    <xf numFmtId="166" fontId="0" fillId="20" borderId="13" xfId="0" applyNumberFormat="1" applyFont="1" applyFill="1" applyBorder="1"/>
    <xf numFmtId="166" fontId="14" fillId="0" borderId="122" xfId="0" applyNumberFormat="1" applyFont="1" applyBorder="1" applyAlignment="1">
      <alignment horizontal="center" vertical="center"/>
    </xf>
    <xf numFmtId="166" fontId="14" fillId="0" borderId="122" xfId="0" applyNumberFormat="1" applyFont="1" applyBorder="1" applyAlignment="1"/>
    <xf numFmtId="1" fontId="0" fillId="20" borderId="12" xfId="0" applyNumberFormat="1" applyFill="1" applyBorder="1" applyAlignment="1">
      <alignment horizontal="center" vertical="center"/>
    </xf>
    <xf numFmtId="1" fontId="0" fillId="20" borderId="0" xfId="0" applyNumberFormat="1" applyFill="1" applyBorder="1" applyAlignment="1">
      <alignment horizontal="center" vertical="center"/>
    </xf>
    <xf numFmtId="172" fontId="12" fillId="0" borderId="113" xfId="3" applyNumberFormat="1" applyFont="1" applyBorder="1"/>
    <xf numFmtId="44" fontId="0" fillId="0" borderId="113" xfId="3" applyFont="1" applyBorder="1"/>
    <xf numFmtId="172" fontId="0" fillId="0" borderId="113" xfId="3" applyNumberFormat="1" applyFont="1" applyBorder="1"/>
    <xf numFmtId="44" fontId="0" fillId="0" borderId="114" xfId="3" applyFont="1" applyBorder="1"/>
    <xf numFmtId="172" fontId="0" fillId="0" borderId="114" xfId="3" applyNumberFormat="1" applyFont="1" applyBorder="1"/>
    <xf numFmtId="172" fontId="18" fillId="0" borderId="114" xfId="3" applyNumberFormat="1" applyFont="1" applyFill="1" applyBorder="1"/>
    <xf numFmtId="1" fontId="18" fillId="0" borderId="14" xfId="7" applyNumberFormat="1" applyFont="1" applyFill="1" applyBorder="1"/>
    <xf numFmtId="1" fontId="18" fillId="0" borderId="16" xfId="7" applyNumberFormat="1" applyFont="1" applyFill="1" applyBorder="1"/>
    <xf numFmtId="1" fontId="18" fillId="0" borderId="12" xfId="7" applyNumberFormat="1" applyFont="1" applyFill="1" applyBorder="1"/>
    <xf numFmtId="1" fontId="18" fillId="0" borderId="13" xfId="7" applyNumberFormat="1" applyFont="1" applyFill="1" applyBorder="1"/>
    <xf numFmtId="0" fontId="14" fillId="0" borderId="9" xfId="0" applyFont="1" applyBorder="1"/>
    <xf numFmtId="1" fontId="18" fillId="0" borderId="15" xfId="7" applyNumberFormat="1" applyFont="1" applyFill="1" applyBorder="1"/>
    <xf numFmtId="0" fontId="11" fillId="3" borderId="23" xfId="5" applyAlignment="1">
      <alignment horizontal="center"/>
    </xf>
    <xf numFmtId="9" fontId="11" fillId="3" borderId="113" xfId="5" applyNumberFormat="1" applyBorder="1" applyAlignment="1">
      <alignment horizontal="center"/>
    </xf>
    <xf numFmtId="1" fontId="18" fillId="0" borderId="0" xfId="7" applyNumberFormat="1" applyFont="1" applyFill="1" applyBorder="1"/>
    <xf numFmtId="9" fontId="11" fillId="0" borderId="12" xfId="5" applyNumberFormat="1" applyFill="1" applyBorder="1" applyAlignment="1">
      <alignment horizontal="center" vertical="center"/>
    </xf>
    <xf numFmtId="9" fontId="11" fillId="3" borderId="0" xfId="5" applyNumberFormat="1" applyBorder="1" applyAlignment="1">
      <alignment horizontal="center" vertical="center"/>
    </xf>
    <xf numFmtId="9" fontId="11" fillId="3" borderId="13" xfId="5" applyNumberFormat="1" applyBorder="1" applyAlignment="1">
      <alignment horizontal="center" vertical="center"/>
    </xf>
    <xf numFmtId="173" fontId="0" fillId="0" borderId="12" xfId="0" applyNumberFormat="1" applyBorder="1"/>
    <xf numFmtId="173" fontId="0" fillId="0" borderId="13" xfId="0" applyNumberFormat="1" applyBorder="1"/>
    <xf numFmtId="0" fontId="0" fillId="0" borderId="0" xfId="0" applyFill="1" applyBorder="1"/>
    <xf numFmtId="0" fontId="12" fillId="0" borderId="9" xfId="0" applyFont="1" applyBorder="1"/>
    <xf numFmtId="0" fontId="11" fillId="3" borderId="115" xfId="5" applyBorder="1"/>
    <xf numFmtId="0" fontId="9" fillId="2" borderId="115" xfId="1" applyBorder="1"/>
    <xf numFmtId="0" fontId="16" fillId="0" borderId="0" xfId="0" applyFont="1" applyAlignment="1">
      <alignment horizontal="center"/>
    </xf>
    <xf numFmtId="0" fontId="25" fillId="0" borderId="0" xfId="0" applyFont="1" applyAlignment="1">
      <alignment horizontal="left" vertical="center"/>
    </xf>
    <xf numFmtId="0" fontId="30" fillId="0" borderId="0" xfId="0" applyFont="1" applyAlignment="1">
      <alignment horizontal="center" vertical="center"/>
    </xf>
    <xf numFmtId="0" fontId="22" fillId="13" borderId="9" xfId="0" applyFont="1" applyFill="1" applyBorder="1" applyAlignment="1">
      <alignment horizontal="center" vertical="center"/>
    </xf>
    <xf numFmtId="0" fontId="22" fillId="13" borderId="10" xfId="0" applyFont="1" applyFill="1" applyBorder="1" applyAlignment="1">
      <alignment horizontal="center" vertical="center"/>
    </xf>
    <xf numFmtId="0" fontId="22" fillId="13" borderId="11" xfId="0" applyFont="1" applyFill="1" applyBorder="1" applyAlignment="1">
      <alignment horizontal="center" vertical="center"/>
    </xf>
    <xf numFmtId="0" fontId="22" fillId="13" borderId="12" xfId="0" applyFont="1" applyFill="1" applyBorder="1" applyAlignment="1">
      <alignment horizontal="center" vertical="center"/>
    </xf>
    <xf numFmtId="0" fontId="22" fillId="13" borderId="0" xfId="0" applyFont="1" applyFill="1" applyBorder="1" applyAlignment="1">
      <alignment horizontal="center" vertical="center"/>
    </xf>
    <xf numFmtId="0" fontId="22" fillId="13" borderId="13" xfId="0" applyFont="1" applyFill="1" applyBorder="1" applyAlignment="1">
      <alignment horizontal="center" vertical="center"/>
    </xf>
    <xf numFmtId="0" fontId="22" fillId="13" borderId="112" xfId="0" applyFont="1" applyFill="1" applyBorder="1" applyAlignment="1">
      <alignment horizontal="center" vertical="center"/>
    </xf>
    <xf numFmtId="0" fontId="22" fillId="13" borderId="113" xfId="0" applyFont="1" applyFill="1" applyBorder="1" applyAlignment="1">
      <alignment horizontal="center" vertical="center"/>
    </xf>
    <xf numFmtId="0" fontId="23" fillId="13" borderId="9" xfId="0" applyFont="1" applyFill="1" applyBorder="1" applyAlignment="1">
      <alignment horizontal="center"/>
    </xf>
    <xf numFmtId="0" fontId="23" fillId="13" borderId="11" xfId="0" applyFont="1" applyFill="1" applyBorder="1" applyAlignment="1">
      <alignment horizontal="center"/>
    </xf>
    <xf numFmtId="0" fontId="23" fillId="13" borderId="10" xfId="0" applyFont="1" applyFill="1" applyBorder="1" applyAlignment="1">
      <alignment horizontal="center"/>
    </xf>
    <xf numFmtId="0" fontId="23" fillId="14" borderId="9" xfId="0" applyFont="1" applyFill="1" applyBorder="1" applyAlignment="1">
      <alignment horizontal="center"/>
    </xf>
    <xf numFmtId="0" fontId="23" fillId="14" borderId="10" xfId="0" applyFont="1" applyFill="1" applyBorder="1" applyAlignment="1">
      <alignment horizontal="center"/>
    </xf>
    <xf numFmtId="0" fontId="23" fillId="14" borderId="11" xfId="0" applyFont="1" applyFill="1" applyBorder="1" applyAlignment="1">
      <alignment horizontal="center"/>
    </xf>
    <xf numFmtId="0" fontId="23" fillId="16" borderId="9" xfId="0" applyFont="1" applyFill="1" applyBorder="1" applyAlignment="1">
      <alignment horizontal="center"/>
    </xf>
    <xf numFmtId="0" fontId="23" fillId="16" borderId="10" xfId="0" applyFont="1" applyFill="1" applyBorder="1" applyAlignment="1">
      <alignment horizontal="center"/>
    </xf>
    <xf numFmtId="0" fontId="23" fillId="16" borderId="11" xfId="0" applyFont="1" applyFill="1" applyBorder="1" applyAlignment="1">
      <alignment horizontal="center"/>
    </xf>
    <xf numFmtId="172" fontId="28" fillId="15" borderId="0" xfId="0" applyNumberFormat="1" applyFont="1" applyFill="1" applyBorder="1" applyAlignment="1">
      <alignment horizontal="center"/>
    </xf>
    <xf numFmtId="172" fontId="28" fillId="18" borderId="0" xfId="0" applyNumberFormat="1" applyFont="1" applyFill="1" applyBorder="1" applyAlignment="1">
      <alignment horizontal="center"/>
    </xf>
    <xf numFmtId="44" fontId="0" fillId="0" borderId="0" xfId="3" applyFont="1" applyBorder="1" applyAlignment="1">
      <alignment horizontal="center"/>
    </xf>
    <xf numFmtId="0" fontId="11" fillId="3" borderId="23" xfId="5" applyAlignment="1">
      <alignment horizontal="center"/>
    </xf>
    <xf numFmtId="0" fontId="23" fillId="16" borderId="119" xfId="0" applyFont="1" applyFill="1" applyBorder="1" applyAlignment="1">
      <alignment horizontal="center"/>
    </xf>
    <xf numFmtId="9" fontId="24" fillId="15" borderId="14" xfId="5" applyNumberFormat="1" applyFont="1" applyFill="1" applyBorder="1" applyAlignment="1">
      <alignment horizontal="center" vertical="center"/>
    </xf>
    <xf numFmtId="9" fontId="24" fillId="15" borderId="15" xfId="5" applyNumberFormat="1" applyFont="1" applyFill="1" applyBorder="1" applyAlignment="1">
      <alignment horizontal="center" vertical="center"/>
    </xf>
    <xf numFmtId="9" fontId="24" fillId="15" borderId="16" xfId="5" applyNumberFormat="1" applyFont="1" applyFill="1" applyBorder="1" applyAlignment="1">
      <alignment horizontal="center" vertical="center"/>
    </xf>
    <xf numFmtId="9" fontId="24" fillId="9" borderId="14" xfId="5" applyNumberFormat="1" applyFont="1" applyFill="1" applyBorder="1" applyAlignment="1">
      <alignment horizontal="center" vertical="center"/>
    </xf>
    <xf numFmtId="9" fontId="24" fillId="9" borderId="15" xfId="5" applyNumberFormat="1" applyFont="1" applyFill="1" applyBorder="1" applyAlignment="1">
      <alignment horizontal="center" vertical="center"/>
    </xf>
    <xf numFmtId="9" fontId="24" fillId="9" borderId="16" xfId="5" applyNumberFormat="1" applyFont="1" applyFill="1" applyBorder="1" applyAlignment="1">
      <alignment horizontal="center" vertical="center"/>
    </xf>
    <xf numFmtId="0" fontId="9" fillId="2" borderId="23" xfId="1" applyAlignment="1">
      <alignment horizontal="center"/>
    </xf>
    <xf numFmtId="9" fontId="8" fillId="0" borderId="46" xfId="6" applyFont="1" applyBorder="1" applyAlignment="1">
      <alignment horizontal="center"/>
    </xf>
    <xf numFmtId="9" fontId="8" fillId="0" borderId="47" xfId="6" applyFont="1" applyBorder="1" applyAlignment="1">
      <alignment horizontal="center"/>
    </xf>
    <xf numFmtId="0" fontId="11" fillId="3" borderId="45" xfId="5" applyBorder="1" applyAlignment="1">
      <alignment horizontal="center"/>
    </xf>
    <xf numFmtId="0" fontId="29" fillId="0" borderId="0" xfId="0" applyFont="1" applyAlignment="1">
      <alignment horizontal="right" vertical="center"/>
    </xf>
    <xf numFmtId="9" fontId="8" fillId="0" borderId="48" xfId="6" applyFont="1" applyBorder="1" applyAlignment="1">
      <alignment horizontal="center"/>
    </xf>
    <xf numFmtId="9" fontId="8" fillId="0" borderId="49" xfId="6" applyFont="1" applyBorder="1" applyAlignment="1">
      <alignment horizontal="center"/>
    </xf>
    <xf numFmtId="0" fontId="25" fillId="0" borderId="0" xfId="0" applyFont="1" applyAlignment="1">
      <alignment horizontal="center" vertical="center"/>
    </xf>
    <xf numFmtId="0" fontId="9" fillId="2" borderId="50" xfId="1" applyBorder="1" applyAlignment="1">
      <alignment horizontal="center"/>
    </xf>
    <xf numFmtId="166" fontId="11" fillId="3" borderId="23" xfId="5" applyNumberFormat="1" applyAlignment="1">
      <alignment horizontal="center"/>
    </xf>
    <xf numFmtId="0" fontId="0" fillId="0" borderId="0" xfId="0" applyAlignment="1">
      <alignment horizontal="center"/>
    </xf>
    <xf numFmtId="0" fontId="12" fillId="6" borderId="1" xfId="0" applyFont="1" applyFill="1" applyBorder="1" applyAlignment="1">
      <alignment horizontal="center" vertical="center"/>
    </xf>
    <xf numFmtId="0" fontId="12" fillId="4" borderId="1"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17"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18" xfId="0" applyFont="1" applyFill="1" applyBorder="1" applyAlignment="1">
      <alignment horizontal="right" vertical="center"/>
    </xf>
    <xf numFmtId="0" fontId="14" fillId="6" borderId="19" xfId="0" applyFont="1" applyFill="1" applyBorder="1" applyAlignment="1">
      <alignment horizontal="right" vertical="center"/>
    </xf>
    <xf numFmtId="166" fontId="0" fillId="0" borderId="24" xfId="0" applyNumberFormat="1"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xf>
    <xf numFmtId="0" fontId="0" fillId="0" borderId="6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2" fillId="10" borderId="54" xfId="0" applyFont="1" applyFill="1" applyBorder="1" applyAlignment="1">
      <alignment horizontal="center" vertical="center"/>
    </xf>
    <xf numFmtId="0" fontId="12" fillId="10" borderId="55" xfId="0" applyFont="1" applyFill="1" applyBorder="1" applyAlignment="1">
      <alignment horizontal="center" vertical="center"/>
    </xf>
    <xf numFmtId="166" fontId="12" fillId="10" borderId="54" xfId="0" applyNumberFormat="1" applyFont="1" applyFill="1" applyBorder="1" applyAlignment="1">
      <alignment horizontal="center" vertical="center" wrapText="1"/>
    </xf>
    <xf numFmtId="166" fontId="12" fillId="10" borderId="55" xfId="0" applyNumberFormat="1" applyFont="1" applyFill="1" applyBorder="1" applyAlignment="1">
      <alignment horizontal="center" vertical="center" wrapText="1"/>
    </xf>
    <xf numFmtId="0" fontId="12" fillId="10" borderId="56" xfId="0" applyFont="1" applyFill="1" applyBorder="1" applyAlignment="1">
      <alignment horizontal="center" vertical="center" wrapText="1"/>
    </xf>
    <xf numFmtId="0" fontId="12" fillId="10" borderId="57" xfId="0" applyFont="1" applyFill="1" applyBorder="1" applyAlignment="1">
      <alignment horizontal="center" vertical="center" wrapText="1"/>
    </xf>
    <xf numFmtId="0" fontId="12" fillId="10" borderId="58" xfId="0" applyFont="1" applyFill="1" applyBorder="1" applyAlignment="1">
      <alignment horizontal="center" vertical="center" wrapText="1"/>
    </xf>
    <xf numFmtId="0" fontId="0" fillId="0" borderId="26" xfId="0" applyFill="1" applyBorder="1" applyAlignment="1">
      <alignment horizontal="center" vertical="center"/>
    </xf>
    <xf numFmtId="0" fontId="0" fillId="7" borderId="24" xfId="0" applyFill="1" applyBorder="1" applyAlignment="1">
      <alignment horizontal="center" vertical="center"/>
    </xf>
    <xf numFmtId="0" fontId="12" fillId="6" borderId="5" xfId="0" applyFont="1" applyFill="1" applyBorder="1" applyAlignment="1">
      <alignment horizontal="center" vertical="center"/>
    </xf>
    <xf numFmtId="0" fontId="12" fillId="6" borderId="20" xfId="0" applyFont="1" applyFill="1" applyBorder="1" applyAlignment="1">
      <alignment horizontal="center" vertical="center"/>
    </xf>
    <xf numFmtId="0" fontId="12" fillId="6" borderId="17" xfId="0" applyFont="1" applyFill="1" applyBorder="1" applyAlignment="1">
      <alignment horizontal="center" vertical="center"/>
    </xf>
    <xf numFmtId="0" fontId="0" fillId="7" borderId="24" xfId="0" applyFont="1" applyFill="1" applyBorder="1" applyAlignment="1">
      <alignment horizontal="center" vertical="center"/>
    </xf>
    <xf numFmtId="0" fontId="0" fillId="7" borderId="24" xfId="0" applyFont="1" applyFill="1" applyBorder="1" applyAlignment="1">
      <alignment horizontal="center" vertical="center" wrapText="1"/>
    </xf>
    <xf numFmtId="0" fontId="0" fillId="7" borderId="24" xfId="0" applyFill="1" applyBorder="1" applyAlignment="1">
      <alignment horizontal="center" vertical="center" wrapText="1"/>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6" xfId="0" applyFill="1" applyBorder="1" applyAlignment="1">
      <alignment horizontal="center" vertical="center"/>
    </xf>
    <xf numFmtId="0" fontId="0" fillId="5" borderId="0" xfId="0" applyFill="1" applyBorder="1" applyAlignment="1">
      <alignment horizontal="center" vertical="center"/>
    </xf>
    <xf numFmtId="0" fontId="0" fillId="8" borderId="24" xfId="0" applyFont="1" applyFill="1" applyBorder="1" applyAlignment="1">
      <alignment horizontal="center" vertical="center" wrapText="1"/>
    </xf>
    <xf numFmtId="0" fontId="12" fillId="10" borderId="59" xfId="0" applyFont="1" applyFill="1" applyBorder="1" applyAlignment="1">
      <alignment horizontal="center" vertical="center"/>
    </xf>
    <xf numFmtId="0" fontId="12" fillId="10" borderId="60" xfId="0" applyFont="1" applyFill="1" applyBorder="1" applyAlignment="1">
      <alignment horizontal="center" vertical="center"/>
    </xf>
    <xf numFmtId="0" fontId="12" fillId="10" borderId="61" xfId="0" applyFont="1" applyFill="1" applyBorder="1" applyAlignment="1">
      <alignment horizontal="center" vertical="center"/>
    </xf>
    <xf numFmtId="0" fontId="12" fillId="10" borderId="62" xfId="0" applyFont="1" applyFill="1" applyBorder="1" applyAlignment="1">
      <alignment horizontal="center" vertical="center"/>
    </xf>
    <xf numFmtId="0" fontId="12" fillId="10" borderId="63" xfId="0" applyFont="1" applyFill="1" applyBorder="1" applyAlignment="1">
      <alignment horizontal="center" vertical="center"/>
    </xf>
    <xf numFmtId="0" fontId="12" fillId="10" borderId="64" xfId="0" applyFont="1" applyFill="1" applyBorder="1" applyAlignment="1">
      <alignment horizontal="center" vertical="center"/>
    </xf>
    <xf numFmtId="0" fontId="12" fillId="10" borderId="56" xfId="0" applyFont="1" applyFill="1" applyBorder="1" applyAlignment="1">
      <alignment horizontal="center" vertical="center" textRotation="90" wrapText="1"/>
    </xf>
    <xf numFmtId="0" fontId="12" fillId="10" borderId="57" xfId="0" applyFont="1" applyFill="1" applyBorder="1" applyAlignment="1">
      <alignment horizontal="center" vertical="center" textRotation="90" wrapText="1"/>
    </xf>
    <xf numFmtId="0" fontId="12" fillId="10" borderId="58" xfId="0" applyFont="1" applyFill="1" applyBorder="1" applyAlignment="1">
      <alignment horizontal="center" vertical="center" textRotation="90" wrapText="1"/>
    </xf>
    <xf numFmtId="0" fontId="12" fillId="10" borderId="56" xfId="0" applyFont="1" applyFill="1" applyBorder="1" applyAlignment="1">
      <alignment horizontal="center" vertical="center"/>
    </xf>
    <xf numFmtId="0" fontId="12" fillId="10" borderId="57" xfId="0" applyFont="1" applyFill="1" applyBorder="1" applyAlignment="1">
      <alignment horizontal="center" vertical="center"/>
    </xf>
    <xf numFmtId="0" fontId="12" fillId="10" borderId="58" xfId="0" applyFont="1" applyFill="1" applyBorder="1" applyAlignment="1">
      <alignment horizontal="center" vertical="center"/>
    </xf>
    <xf numFmtId="0" fontId="12" fillId="10" borderId="66" xfId="0" applyFont="1" applyFill="1" applyBorder="1" applyAlignment="1">
      <alignment horizontal="center" vertical="center"/>
    </xf>
    <xf numFmtId="0" fontId="12" fillId="10" borderId="67" xfId="0" applyFont="1" applyFill="1" applyBorder="1" applyAlignment="1">
      <alignment horizontal="center" vertical="center"/>
    </xf>
    <xf numFmtId="0" fontId="12" fillId="10" borderId="68" xfId="0" applyFont="1" applyFill="1" applyBorder="1" applyAlignment="1">
      <alignment horizontal="center" vertical="center"/>
    </xf>
    <xf numFmtId="0" fontId="0" fillId="4" borderId="69" xfId="0" applyFill="1" applyBorder="1" applyAlignment="1">
      <alignment horizontal="center" vertical="center"/>
    </xf>
    <xf numFmtId="0" fontId="0" fillId="4" borderId="70" xfId="0" applyFill="1" applyBorder="1" applyAlignment="1">
      <alignment horizontal="center" vertical="center"/>
    </xf>
    <xf numFmtId="0" fontId="0" fillId="4" borderId="55" xfId="0" applyFill="1" applyBorder="1" applyAlignment="1">
      <alignment horizontal="center" vertical="center"/>
    </xf>
    <xf numFmtId="0" fontId="12" fillId="10" borderId="71" xfId="0" applyFont="1" applyFill="1" applyBorder="1" applyAlignment="1">
      <alignment horizontal="center" vertical="center" textRotation="90"/>
    </xf>
    <xf numFmtId="0" fontId="12" fillId="10" borderId="72" xfId="0" applyFont="1" applyFill="1" applyBorder="1" applyAlignment="1">
      <alignment horizontal="center" vertical="center" textRotation="90"/>
    </xf>
    <xf numFmtId="0" fontId="12" fillId="10" borderId="73" xfId="0" applyFont="1" applyFill="1" applyBorder="1" applyAlignment="1">
      <alignment horizontal="center" vertical="center" textRotation="90"/>
    </xf>
    <xf numFmtId="0" fontId="12" fillId="10" borderId="56" xfId="0" applyFont="1" applyFill="1" applyBorder="1" applyAlignment="1">
      <alignment horizontal="center" vertical="center" textRotation="90"/>
    </xf>
    <xf numFmtId="0" fontId="12" fillId="10" borderId="57" xfId="0" applyFont="1" applyFill="1" applyBorder="1" applyAlignment="1">
      <alignment horizontal="center" vertical="center" textRotation="90"/>
    </xf>
    <xf numFmtId="0" fontId="12" fillId="10" borderId="58" xfId="0" applyFont="1" applyFill="1" applyBorder="1" applyAlignment="1">
      <alignment horizontal="center" vertical="center" textRotation="90"/>
    </xf>
    <xf numFmtId="0" fontId="12" fillId="10" borderId="51" xfId="0" applyFont="1" applyFill="1" applyBorder="1" applyAlignment="1">
      <alignment horizontal="center" vertical="center"/>
    </xf>
    <xf numFmtId="0" fontId="12" fillId="10" borderId="52" xfId="0" applyFont="1" applyFill="1" applyBorder="1" applyAlignment="1">
      <alignment horizontal="center" vertical="center"/>
    </xf>
    <xf numFmtId="0" fontId="12" fillId="10" borderId="53" xfId="0" applyFont="1" applyFill="1" applyBorder="1" applyAlignment="1">
      <alignment horizontal="center" vertical="center"/>
    </xf>
    <xf numFmtId="0" fontId="12" fillId="10" borderId="54" xfId="0" applyFont="1" applyFill="1" applyBorder="1" applyAlignment="1">
      <alignment horizontal="center" vertical="center" wrapText="1"/>
    </xf>
    <xf numFmtId="0" fontId="12" fillId="10" borderId="55" xfId="0" applyFont="1" applyFill="1" applyBorder="1" applyAlignment="1">
      <alignment horizontal="center" vertical="center" wrapText="1"/>
    </xf>
    <xf numFmtId="1" fontId="12" fillId="10" borderId="54" xfId="0" applyNumberFormat="1" applyFont="1" applyFill="1" applyBorder="1" applyAlignment="1">
      <alignment horizontal="center" vertical="center" wrapText="1"/>
    </xf>
    <xf numFmtId="1" fontId="12" fillId="10" borderId="55" xfId="0" applyNumberFormat="1" applyFont="1" applyFill="1" applyBorder="1" applyAlignment="1">
      <alignment horizontal="center" vertical="center" wrapText="1"/>
    </xf>
    <xf numFmtId="1" fontId="12" fillId="10" borderId="65" xfId="0" applyNumberFormat="1" applyFont="1" applyFill="1" applyBorder="1" applyAlignment="1">
      <alignment horizontal="center" vertical="center" wrapText="1"/>
    </xf>
    <xf numFmtId="1" fontId="12" fillId="10" borderId="58" xfId="0" applyNumberFormat="1" applyFont="1" applyFill="1" applyBorder="1" applyAlignment="1">
      <alignment horizontal="center" vertical="center" wrapText="1"/>
    </xf>
    <xf numFmtId="0" fontId="0" fillId="10" borderId="54" xfId="0" applyFont="1" applyFill="1" applyBorder="1" applyAlignment="1">
      <alignment horizontal="center" vertical="center" wrapText="1"/>
    </xf>
    <xf numFmtId="0" fontId="0" fillId="10" borderId="55" xfId="0" applyFont="1" applyFill="1" applyBorder="1" applyAlignment="1">
      <alignment horizontal="center" vertical="center" wrapText="1"/>
    </xf>
    <xf numFmtId="0" fontId="12" fillId="6" borderId="6" xfId="0" applyFont="1" applyFill="1" applyBorder="1" applyAlignment="1">
      <alignment horizontal="center" vertical="center"/>
    </xf>
    <xf numFmtId="0" fontId="12" fillId="10" borderId="74" xfId="0" applyFont="1" applyFill="1" applyBorder="1" applyAlignment="1">
      <alignment horizontal="center" vertical="center" textRotation="90"/>
    </xf>
    <xf numFmtId="0" fontId="12" fillId="10" borderId="75" xfId="0" applyFont="1" applyFill="1" applyBorder="1" applyAlignment="1">
      <alignment horizontal="center" vertical="center" textRotation="90"/>
    </xf>
    <xf numFmtId="0" fontId="12" fillId="10" borderId="76" xfId="0" applyFont="1" applyFill="1" applyBorder="1" applyAlignment="1">
      <alignment horizontal="center" vertical="center" textRotation="90"/>
    </xf>
    <xf numFmtId="0" fontId="12" fillId="10" borderId="77" xfId="0" applyFont="1" applyFill="1" applyBorder="1" applyAlignment="1">
      <alignment horizontal="center" vertical="center" textRotation="90"/>
    </xf>
    <xf numFmtId="0" fontId="12" fillId="10" borderId="78" xfId="0" applyFont="1" applyFill="1" applyBorder="1" applyAlignment="1">
      <alignment horizontal="center" vertical="center" textRotation="90"/>
    </xf>
    <xf numFmtId="0" fontId="12" fillId="10" borderId="79" xfId="0" applyFont="1" applyFill="1" applyBorder="1" applyAlignment="1">
      <alignment horizontal="center" vertical="center" textRotation="90"/>
    </xf>
    <xf numFmtId="0" fontId="12" fillId="10" borderId="77" xfId="0" applyFont="1" applyFill="1" applyBorder="1" applyAlignment="1">
      <alignment horizontal="center" vertical="center" textRotation="90" wrapText="1"/>
    </xf>
    <xf numFmtId="0" fontId="12" fillId="10" borderId="78" xfId="0" applyFont="1" applyFill="1" applyBorder="1" applyAlignment="1">
      <alignment horizontal="center" vertical="center" textRotation="90" wrapText="1"/>
    </xf>
    <xf numFmtId="0" fontId="12" fillId="10" borderId="79" xfId="0" applyFont="1" applyFill="1" applyBorder="1" applyAlignment="1">
      <alignment horizontal="center" vertical="center" textRotation="90" wrapText="1"/>
    </xf>
    <xf numFmtId="0" fontId="12" fillId="10" borderId="77" xfId="0" applyFont="1" applyFill="1" applyBorder="1" applyAlignment="1">
      <alignment horizontal="center" vertical="center"/>
    </xf>
    <xf numFmtId="0" fontId="12" fillId="10" borderId="78" xfId="0" applyFont="1" applyFill="1" applyBorder="1" applyAlignment="1">
      <alignment horizontal="center" vertical="center"/>
    </xf>
    <xf numFmtId="0" fontId="12" fillId="10" borderId="79" xfId="0" applyFont="1" applyFill="1" applyBorder="1" applyAlignment="1">
      <alignment horizontal="center" vertical="center"/>
    </xf>
    <xf numFmtId="0" fontId="12" fillId="10" borderId="80" xfId="0" applyFont="1" applyFill="1" applyBorder="1" applyAlignment="1">
      <alignment horizontal="center" vertical="center"/>
    </xf>
    <xf numFmtId="0" fontId="12" fillId="10" borderId="81" xfId="0" applyFont="1" applyFill="1" applyBorder="1" applyAlignment="1">
      <alignment horizontal="center" vertical="center"/>
    </xf>
    <xf numFmtId="0" fontId="12" fillId="10" borderId="82" xfId="0" applyFont="1" applyFill="1" applyBorder="1" applyAlignment="1">
      <alignment horizontal="center" vertical="center"/>
    </xf>
    <xf numFmtId="166" fontId="12" fillId="10" borderId="30" xfId="0" applyNumberFormat="1" applyFont="1" applyFill="1" applyBorder="1" applyAlignment="1">
      <alignment horizontal="center" vertical="center" wrapText="1"/>
    </xf>
    <xf numFmtId="1" fontId="12" fillId="10" borderId="30" xfId="0" applyNumberFormat="1"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12" fillId="10" borderId="83" xfId="0" applyFont="1" applyFill="1" applyBorder="1" applyAlignment="1">
      <alignment horizontal="center" vertical="center"/>
    </xf>
    <xf numFmtId="0" fontId="12" fillId="10" borderId="84" xfId="0" applyFont="1" applyFill="1" applyBorder="1" applyAlignment="1">
      <alignment horizontal="center" vertical="center"/>
    </xf>
    <xf numFmtId="0" fontId="12" fillId="10" borderId="85" xfId="0" applyFont="1" applyFill="1" applyBorder="1" applyAlignment="1">
      <alignment horizontal="center" vertical="center"/>
    </xf>
    <xf numFmtId="0" fontId="12" fillId="10" borderId="86" xfId="0" applyFont="1" applyFill="1" applyBorder="1" applyAlignment="1">
      <alignment horizontal="center" vertical="center"/>
    </xf>
    <xf numFmtId="0" fontId="12" fillId="10" borderId="30" xfId="0" applyFont="1" applyFill="1" applyBorder="1" applyAlignment="1">
      <alignment horizontal="center" vertical="center"/>
    </xf>
    <xf numFmtId="0" fontId="12" fillId="5" borderId="24" xfId="0" applyFont="1" applyFill="1" applyBorder="1" applyAlignment="1">
      <alignment horizontal="center" vertical="center"/>
    </xf>
    <xf numFmtId="0" fontId="12" fillId="4" borderId="24" xfId="0" applyFont="1" applyFill="1" applyBorder="1" applyAlignment="1">
      <alignment horizontal="center" vertical="center"/>
    </xf>
    <xf numFmtId="0" fontId="0" fillId="8" borderId="24" xfId="0" applyFill="1" applyBorder="1" applyAlignment="1">
      <alignment horizontal="center" vertical="center"/>
    </xf>
    <xf numFmtId="0" fontId="0" fillId="8" borderId="24" xfId="0" applyFill="1" applyBorder="1" applyAlignment="1">
      <alignment horizontal="center" vertical="center" wrapText="1"/>
    </xf>
    <xf numFmtId="0" fontId="0" fillId="9" borderId="24" xfId="0" applyFill="1" applyBorder="1" applyAlignment="1">
      <alignment horizontal="center" vertical="center"/>
    </xf>
    <xf numFmtId="0" fontId="12" fillId="0" borderId="24" xfId="0" applyFont="1" applyBorder="1" applyAlignment="1">
      <alignment horizontal="center" vertical="center"/>
    </xf>
    <xf numFmtId="0" fontId="0" fillId="9" borderId="24" xfId="0" applyFill="1" applyBorder="1" applyAlignment="1">
      <alignment horizontal="center" vertical="center" wrapText="1"/>
    </xf>
    <xf numFmtId="0" fontId="20" fillId="5" borderId="24" xfId="0" applyFont="1" applyFill="1" applyBorder="1" applyAlignment="1">
      <alignment horizontal="center" vertical="center"/>
    </xf>
    <xf numFmtId="0" fontId="12" fillId="6" borderId="24" xfId="0" applyFont="1" applyFill="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12" fillId="10" borderId="87" xfId="0" applyFont="1" applyFill="1" applyBorder="1" applyAlignment="1">
      <alignment horizontal="center" vertical="center" textRotation="90" wrapText="1"/>
    </xf>
    <xf numFmtId="0" fontId="12" fillId="10" borderId="0" xfId="0" applyFont="1" applyFill="1" applyBorder="1" applyAlignment="1">
      <alignment horizontal="center" vertical="center" textRotation="90" wrapText="1"/>
    </xf>
    <xf numFmtId="0" fontId="12" fillId="10" borderId="88" xfId="0" applyFont="1" applyFill="1" applyBorder="1" applyAlignment="1">
      <alignment horizontal="center" vertical="center" textRotation="90" wrapText="1"/>
    </xf>
    <xf numFmtId="0" fontId="12" fillId="10" borderId="87"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88" xfId="0" applyFont="1" applyFill="1" applyBorder="1" applyAlignment="1">
      <alignment horizontal="center" vertical="center"/>
    </xf>
    <xf numFmtId="0" fontId="12" fillId="10" borderId="24" xfId="0" applyFont="1" applyFill="1" applyBorder="1" applyAlignment="1">
      <alignment horizontal="center" vertical="center"/>
    </xf>
    <xf numFmtId="0" fontId="12" fillId="10" borderId="70"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2" fillId="10" borderId="65" xfId="0" applyFont="1" applyFill="1" applyBorder="1" applyAlignment="1">
      <alignment horizontal="center" vertical="center"/>
    </xf>
    <xf numFmtId="166" fontId="12" fillId="10" borderId="24" xfId="0" applyNumberFormat="1" applyFont="1" applyFill="1" applyBorder="1" applyAlignment="1">
      <alignment horizontal="center" vertical="center" wrapText="1"/>
    </xf>
    <xf numFmtId="1" fontId="12" fillId="10" borderId="24" xfId="0" applyNumberFormat="1" applyFont="1" applyFill="1" applyBorder="1" applyAlignment="1">
      <alignment horizontal="center" vertical="center" wrapText="1"/>
    </xf>
    <xf numFmtId="0" fontId="12" fillId="10" borderId="89" xfId="0" applyFont="1" applyFill="1" applyBorder="1" applyAlignment="1">
      <alignment horizontal="center" vertical="center" textRotation="90"/>
    </xf>
    <xf numFmtId="0" fontId="12" fillId="10" borderId="61" xfId="0" applyFont="1" applyFill="1" applyBorder="1" applyAlignment="1">
      <alignment horizontal="center" vertical="center" textRotation="90"/>
    </xf>
    <xf numFmtId="0" fontId="12" fillId="10" borderId="63" xfId="0" applyFont="1" applyFill="1" applyBorder="1" applyAlignment="1">
      <alignment horizontal="center" vertical="center" textRotation="90"/>
    </xf>
    <xf numFmtId="0" fontId="12" fillId="10" borderId="87" xfId="0" applyFont="1" applyFill="1" applyBorder="1" applyAlignment="1">
      <alignment horizontal="center" vertical="center" textRotation="90"/>
    </xf>
    <xf numFmtId="0" fontId="12" fillId="10" borderId="0" xfId="0" applyFont="1" applyFill="1" applyBorder="1" applyAlignment="1">
      <alignment horizontal="center" vertical="center" textRotation="90"/>
    </xf>
    <xf numFmtId="0" fontId="12" fillId="10" borderId="88" xfId="0" applyFont="1" applyFill="1" applyBorder="1" applyAlignment="1">
      <alignment horizontal="center" vertical="center" textRotation="90"/>
    </xf>
    <xf numFmtId="0" fontId="12" fillId="10" borderId="90" xfId="0" applyFont="1" applyFill="1" applyBorder="1" applyAlignment="1">
      <alignment horizontal="center" vertical="center"/>
    </xf>
    <xf numFmtId="0" fontId="12" fillId="10" borderId="24" xfId="0" applyFont="1" applyFill="1" applyBorder="1" applyAlignment="1">
      <alignment horizontal="center" vertical="center" wrapText="1"/>
    </xf>
    <xf numFmtId="0" fontId="0" fillId="8" borderId="36" xfId="0" applyFill="1" applyBorder="1" applyAlignment="1">
      <alignment horizontal="center" vertical="center"/>
    </xf>
    <xf numFmtId="0" fontId="0" fillId="8" borderId="37" xfId="0" applyFill="1" applyBorder="1" applyAlignment="1">
      <alignment horizontal="center" vertical="center"/>
    </xf>
    <xf numFmtId="1" fontId="0" fillId="4" borderId="91" xfId="0" applyNumberFormat="1" applyFill="1" applyBorder="1" applyAlignment="1">
      <alignment horizontal="center" vertical="center"/>
    </xf>
    <xf numFmtId="1" fontId="0" fillId="4" borderId="40" xfId="0" applyNumberFormat="1" applyFill="1" applyBorder="1" applyAlignment="1">
      <alignment horizontal="center" vertical="center"/>
    </xf>
    <xf numFmtId="1" fontId="0" fillId="4" borderId="92" xfId="0" applyNumberFormat="1" applyFill="1" applyBorder="1" applyAlignment="1">
      <alignment horizontal="center" vertical="center"/>
    </xf>
    <xf numFmtId="1" fontId="0" fillId="4" borderId="93" xfId="0" applyNumberFormat="1" applyFill="1" applyBorder="1" applyAlignment="1">
      <alignment horizontal="center" vertical="center"/>
    </xf>
    <xf numFmtId="1" fontId="0" fillId="4" borderId="94" xfId="0" applyNumberFormat="1" applyFill="1" applyBorder="1" applyAlignment="1">
      <alignment horizontal="center" vertical="center"/>
    </xf>
    <xf numFmtId="1" fontId="0" fillId="4" borderId="95" xfId="0" applyNumberFormat="1" applyFill="1" applyBorder="1" applyAlignment="1">
      <alignment horizontal="center" vertical="center"/>
    </xf>
    <xf numFmtId="0" fontId="0" fillId="0" borderId="2"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18" fillId="8" borderId="36" xfId="0" applyFont="1" applyFill="1" applyBorder="1" applyAlignment="1">
      <alignment horizontal="center" vertical="center" wrapText="1"/>
    </xf>
    <xf numFmtId="0" fontId="18" fillId="8" borderId="37" xfId="0" applyFont="1" applyFill="1" applyBorder="1" applyAlignment="1">
      <alignment horizontal="center" vertical="center" wrapText="1"/>
    </xf>
    <xf numFmtId="0" fontId="18" fillId="9" borderId="36" xfId="0" applyFont="1" applyFill="1" applyBorder="1" applyAlignment="1">
      <alignment horizontal="center" vertical="center" wrapText="1"/>
    </xf>
    <xf numFmtId="0" fontId="18" fillId="9" borderId="37" xfId="0" applyFont="1" applyFill="1" applyBorder="1" applyAlignment="1">
      <alignment horizontal="center" vertical="center" wrapText="1"/>
    </xf>
    <xf numFmtId="0" fontId="12" fillId="10" borderId="36" xfId="0" applyFont="1" applyFill="1" applyBorder="1" applyAlignment="1">
      <alignment horizontal="center" vertical="center"/>
    </xf>
    <xf numFmtId="0" fontId="12" fillId="10" borderId="37" xfId="0" applyFont="1" applyFill="1" applyBorder="1" applyAlignment="1">
      <alignment horizontal="center" vertical="center"/>
    </xf>
    <xf numFmtId="0" fontId="0" fillId="8" borderId="36" xfId="0" applyFill="1" applyBorder="1" applyAlignment="1">
      <alignment horizontal="center" vertical="center" wrapText="1"/>
    </xf>
    <xf numFmtId="0" fontId="0" fillId="8" borderId="37" xfId="0" applyFill="1" applyBorder="1" applyAlignment="1">
      <alignment horizontal="center" vertical="center" wrapText="1"/>
    </xf>
    <xf numFmtId="0" fontId="12" fillId="6" borderId="30" xfId="0" applyFont="1" applyFill="1" applyBorder="1" applyAlignment="1">
      <alignment horizontal="center" vertical="center"/>
    </xf>
    <xf numFmtId="1" fontId="18" fillId="0" borderId="30" xfId="0" applyNumberFormat="1" applyFont="1" applyBorder="1" applyAlignment="1">
      <alignment horizontal="center" vertical="center"/>
    </xf>
    <xf numFmtId="166" fontId="0" fillId="0" borderId="30" xfId="0" applyNumberFormat="1" applyBorder="1" applyAlignment="1">
      <alignment horizontal="center" vertical="center"/>
    </xf>
    <xf numFmtId="1" fontId="0" fillId="0" borderId="30" xfId="0" applyNumberFormat="1" applyBorder="1" applyAlignment="1">
      <alignment horizontal="center" vertical="center"/>
    </xf>
    <xf numFmtId="166" fontId="0" fillId="0" borderId="43" xfId="0" applyNumberFormat="1" applyBorder="1" applyAlignment="1">
      <alignment horizontal="center" vertical="center"/>
    </xf>
    <xf numFmtId="166" fontId="0" fillId="0" borderId="78" xfId="0" applyNumberFormat="1" applyBorder="1" applyAlignment="1">
      <alignment horizontal="center" vertical="center"/>
    </xf>
    <xf numFmtId="166" fontId="0" fillId="0" borderId="79" xfId="0" applyNumberFormat="1" applyBorder="1" applyAlignment="1">
      <alignment horizontal="center" vertical="center"/>
    </xf>
    <xf numFmtId="0" fontId="17" fillId="0" borderId="30" xfId="0" applyFont="1" applyBorder="1" applyAlignment="1">
      <alignment horizontal="center" vertical="center"/>
    </xf>
    <xf numFmtId="0" fontId="0" fillId="0" borderId="30" xfId="0" applyBorder="1" applyAlignment="1">
      <alignment horizontal="center" vertical="center"/>
    </xf>
    <xf numFmtId="0" fontId="6" fillId="0" borderId="30" xfId="0" applyFont="1" applyBorder="1" applyAlignment="1">
      <alignment horizontal="center" vertical="center" wrapText="1"/>
    </xf>
    <xf numFmtId="165" fontId="12" fillId="10" borderId="30" xfId="0" applyNumberFormat="1" applyFont="1" applyFill="1" applyBorder="1" applyAlignment="1">
      <alignment horizontal="center" vertical="center" wrapText="1"/>
    </xf>
    <xf numFmtId="1" fontId="12" fillId="10" borderId="30" xfId="0" applyNumberFormat="1" applyFont="1" applyFill="1" applyBorder="1" applyAlignment="1">
      <alignment horizontal="center" vertical="center"/>
    </xf>
    <xf numFmtId="1" fontId="12" fillId="10" borderId="36" xfId="0" applyNumberFormat="1" applyFont="1" applyFill="1" applyBorder="1" applyAlignment="1">
      <alignment horizontal="center" vertical="center"/>
    </xf>
    <xf numFmtId="1" fontId="12" fillId="10" borderId="38" xfId="0" applyNumberFormat="1" applyFont="1" applyFill="1" applyBorder="1" applyAlignment="1">
      <alignment horizontal="center" vertical="center"/>
    </xf>
    <xf numFmtId="1" fontId="12" fillId="10" borderId="37" xfId="0" applyNumberFormat="1" applyFont="1" applyFill="1" applyBorder="1" applyAlignment="1">
      <alignment horizontal="center" vertical="center"/>
    </xf>
    <xf numFmtId="0" fontId="12" fillId="10" borderId="43" xfId="0" applyFont="1" applyFill="1" applyBorder="1" applyAlignment="1">
      <alignment horizontal="center" vertical="center" wrapText="1"/>
    </xf>
    <xf numFmtId="0" fontId="12" fillId="10" borderId="78" xfId="0" applyFont="1" applyFill="1" applyBorder="1" applyAlignment="1">
      <alignment horizontal="center" vertical="center" wrapText="1"/>
    </xf>
    <xf numFmtId="0" fontId="12" fillId="10" borderId="79" xfId="0" applyFont="1" applyFill="1" applyBorder="1" applyAlignment="1">
      <alignment horizontal="center" vertical="center" wrapText="1"/>
    </xf>
    <xf numFmtId="0" fontId="12" fillId="10" borderId="43" xfId="0" applyFont="1" applyFill="1" applyBorder="1" applyAlignment="1">
      <alignment horizontal="center" vertical="center"/>
    </xf>
    <xf numFmtId="0" fontId="12" fillId="10" borderId="43" xfId="0" applyFont="1" applyFill="1" applyBorder="1" applyAlignment="1">
      <alignment horizontal="center" vertical="center" textRotation="90"/>
    </xf>
    <xf numFmtId="0" fontId="12" fillId="10" borderId="43" xfId="0" applyFont="1" applyFill="1" applyBorder="1" applyAlignment="1">
      <alignment horizontal="center" vertical="center" textRotation="90" wrapText="1"/>
    </xf>
    <xf numFmtId="0" fontId="12" fillId="10" borderId="91" xfId="0" applyFont="1" applyFill="1" applyBorder="1" applyAlignment="1">
      <alignment horizontal="center" vertical="center"/>
    </xf>
    <xf numFmtId="0" fontId="12" fillId="10" borderId="92" xfId="0" applyFont="1" applyFill="1" applyBorder="1" applyAlignment="1">
      <alignment horizontal="center" vertical="center"/>
    </xf>
    <xf numFmtId="0" fontId="12" fillId="10" borderId="96" xfId="0" applyFont="1" applyFill="1" applyBorder="1" applyAlignment="1">
      <alignment horizontal="center" vertical="center"/>
    </xf>
    <xf numFmtId="0" fontId="12" fillId="10" borderId="97" xfId="0" applyFont="1" applyFill="1" applyBorder="1" applyAlignment="1">
      <alignment horizontal="center" vertical="center"/>
    </xf>
    <xf numFmtId="0" fontId="12" fillId="10" borderId="93" xfId="0" applyFont="1" applyFill="1" applyBorder="1" applyAlignment="1">
      <alignment horizontal="center" vertical="center"/>
    </xf>
    <xf numFmtId="0" fontId="12" fillId="10" borderId="95" xfId="0" applyFont="1" applyFill="1" applyBorder="1" applyAlignment="1">
      <alignment horizontal="center" vertical="center"/>
    </xf>
    <xf numFmtId="0" fontId="0" fillId="7" borderId="30" xfId="0" applyFill="1" applyBorder="1" applyAlignment="1">
      <alignment horizontal="center" vertical="center"/>
    </xf>
    <xf numFmtId="0" fontId="0" fillId="8" borderId="30" xfId="0" applyFont="1" applyFill="1" applyBorder="1" applyAlignment="1">
      <alignment horizontal="center" vertical="center" wrapText="1"/>
    </xf>
    <xf numFmtId="1" fontId="12" fillId="10" borderId="98" xfId="0" applyNumberFormat="1" applyFont="1" applyFill="1" applyBorder="1" applyAlignment="1">
      <alignment horizontal="center" vertical="center"/>
    </xf>
    <xf numFmtId="1" fontId="12" fillId="10" borderId="99" xfId="0" applyNumberFormat="1" applyFont="1" applyFill="1" applyBorder="1" applyAlignment="1">
      <alignment horizontal="center" vertical="center"/>
    </xf>
    <xf numFmtId="1" fontId="12" fillId="10" borderId="100" xfId="0" applyNumberFormat="1" applyFont="1" applyFill="1" applyBorder="1" applyAlignment="1">
      <alignment horizontal="center" vertical="center"/>
    </xf>
    <xf numFmtId="0" fontId="0" fillId="9" borderId="36" xfId="0" applyFont="1" applyFill="1" applyBorder="1" applyAlignment="1">
      <alignment horizontal="center" vertical="center"/>
    </xf>
    <xf numFmtId="0" fontId="0" fillId="9" borderId="38" xfId="0" applyFont="1" applyFill="1" applyBorder="1" applyAlignment="1">
      <alignment horizontal="center" vertical="center"/>
    </xf>
    <xf numFmtId="0" fontId="0" fillId="9" borderId="37" xfId="0" applyFont="1" applyFill="1" applyBorder="1" applyAlignment="1">
      <alignment horizontal="center" vertical="center"/>
    </xf>
    <xf numFmtId="0" fontId="0" fillId="8" borderId="38" xfId="0" applyFill="1" applyBorder="1" applyAlignment="1">
      <alignment horizontal="center" vertical="center" wrapText="1"/>
    </xf>
    <xf numFmtId="0" fontId="0" fillId="7" borderId="36" xfId="0" applyFill="1" applyBorder="1" applyAlignment="1">
      <alignment horizontal="center" vertical="center" wrapText="1"/>
    </xf>
    <xf numFmtId="0" fontId="0" fillId="7" borderId="38" xfId="0" applyFill="1" applyBorder="1" applyAlignment="1">
      <alignment horizontal="center" vertical="center" wrapText="1"/>
    </xf>
    <xf numFmtId="0" fontId="0" fillId="7" borderId="37" xfId="0" applyFill="1" applyBorder="1" applyAlignment="1">
      <alignment horizontal="center" vertical="center" wrapText="1"/>
    </xf>
    <xf numFmtId="0" fontId="0" fillId="9" borderId="36" xfId="0" applyFill="1" applyBorder="1" applyAlignment="1">
      <alignment horizontal="center" vertical="center" wrapText="1"/>
    </xf>
    <xf numFmtId="0" fontId="0" fillId="9" borderId="38" xfId="0" applyFill="1" applyBorder="1" applyAlignment="1">
      <alignment horizontal="center" vertical="center" wrapText="1"/>
    </xf>
    <xf numFmtId="0" fontId="0" fillId="9" borderId="37" xfId="0" applyFill="1" applyBorder="1" applyAlignment="1">
      <alignment horizontal="center" vertical="center" wrapText="1"/>
    </xf>
    <xf numFmtId="0" fontId="0" fillId="7" borderId="36" xfId="0" applyFill="1" applyBorder="1" applyAlignment="1">
      <alignment horizontal="center" vertical="center"/>
    </xf>
    <xf numFmtId="0" fontId="0" fillId="7" borderId="38" xfId="0" applyFill="1" applyBorder="1" applyAlignment="1">
      <alignment horizontal="center" vertical="center"/>
    </xf>
    <xf numFmtId="0" fontId="0" fillId="7" borderId="37" xfId="0" applyFill="1" applyBorder="1" applyAlignment="1">
      <alignment horizontal="center" vertical="center"/>
    </xf>
    <xf numFmtId="0" fontId="0" fillId="7" borderId="36" xfId="0" applyFont="1" applyFill="1" applyBorder="1" applyAlignment="1">
      <alignment horizontal="center" vertical="center" wrapText="1"/>
    </xf>
    <xf numFmtId="0" fontId="0" fillId="7" borderId="38" xfId="0" applyFont="1" applyFill="1" applyBorder="1" applyAlignment="1">
      <alignment horizontal="center" vertical="center" wrapText="1"/>
    </xf>
    <xf numFmtId="0" fontId="0" fillId="7" borderId="37"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79" xfId="0" applyFill="1" applyBorder="1" applyAlignment="1">
      <alignment horizontal="center" vertical="center"/>
    </xf>
    <xf numFmtId="0" fontId="0" fillId="8" borderId="38" xfId="0" applyFill="1" applyBorder="1" applyAlignment="1">
      <alignment horizontal="center" vertical="center"/>
    </xf>
    <xf numFmtId="166" fontId="0" fillId="0" borderId="30" xfId="0" applyNumberFormat="1" applyFont="1" applyBorder="1" applyAlignment="1">
      <alignment horizontal="center" vertical="center"/>
    </xf>
    <xf numFmtId="0" fontId="0" fillId="8" borderId="36" xfId="0" applyFont="1" applyFill="1" applyBorder="1" applyAlignment="1">
      <alignment horizontal="center" vertical="center"/>
    </xf>
    <xf numFmtId="0" fontId="0" fillId="8" borderId="38" xfId="0" applyFont="1" applyFill="1" applyBorder="1" applyAlignment="1">
      <alignment horizontal="center" vertical="center"/>
    </xf>
    <xf numFmtId="0" fontId="0" fillId="8" borderId="37" xfId="0" applyFont="1" applyFill="1" applyBorder="1" applyAlignment="1">
      <alignment horizontal="center" vertical="center"/>
    </xf>
    <xf numFmtId="0" fontId="12" fillId="10" borderId="34" xfId="0" applyFont="1" applyFill="1" applyBorder="1" applyAlignment="1">
      <alignment horizontal="center" vertical="center" textRotation="90"/>
    </xf>
    <xf numFmtId="0" fontId="12" fillId="10" borderId="101" xfId="0" applyFont="1" applyFill="1" applyBorder="1" applyAlignment="1">
      <alignment horizontal="center" vertical="center" textRotation="90"/>
    </xf>
    <xf numFmtId="0" fontId="12" fillId="10" borderId="86" xfId="0" applyFont="1" applyFill="1" applyBorder="1" applyAlignment="1">
      <alignment horizontal="center" vertical="center" textRotation="90"/>
    </xf>
    <xf numFmtId="0" fontId="12" fillId="10" borderId="34" xfId="0" applyFont="1" applyFill="1" applyBorder="1" applyAlignment="1">
      <alignment horizontal="center" vertical="center" textRotation="90" wrapText="1"/>
    </xf>
    <xf numFmtId="0" fontId="12" fillId="10" borderId="101" xfId="0" applyFont="1" applyFill="1" applyBorder="1" applyAlignment="1">
      <alignment horizontal="center" vertical="center" textRotation="90" wrapText="1"/>
    </xf>
    <xf numFmtId="0" fontId="12" fillId="10" borderId="86" xfId="0" applyFont="1" applyFill="1" applyBorder="1" applyAlignment="1">
      <alignment horizontal="center" vertical="center" textRotation="90" wrapText="1"/>
    </xf>
    <xf numFmtId="0" fontId="12" fillId="5" borderId="36" xfId="0" applyFont="1" applyFill="1" applyBorder="1" applyAlignment="1">
      <alignment horizontal="left" vertical="center"/>
    </xf>
    <xf numFmtId="0" fontId="12" fillId="5" borderId="38" xfId="0" applyFont="1" applyFill="1" applyBorder="1" applyAlignment="1">
      <alignment horizontal="left" vertical="center"/>
    </xf>
    <xf numFmtId="0" fontId="12" fillId="5" borderId="37" xfId="0" applyFont="1" applyFill="1" applyBorder="1" applyAlignment="1">
      <alignment horizontal="left" vertical="center"/>
    </xf>
    <xf numFmtId="0" fontId="0" fillId="8" borderId="36" xfId="0" applyFont="1" applyFill="1" applyBorder="1" applyAlignment="1">
      <alignment horizontal="center" vertical="center" wrapText="1"/>
    </xf>
    <xf numFmtId="0" fontId="0" fillId="8" borderId="38" xfId="0" applyFont="1" applyFill="1" applyBorder="1" applyAlignment="1">
      <alignment horizontal="center" vertical="center" wrapText="1"/>
    </xf>
    <xf numFmtId="0" fontId="0" fillId="8" borderId="37" xfId="0" applyFont="1" applyFill="1" applyBorder="1" applyAlignment="1">
      <alignment horizontal="center" vertical="center" wrapText="1"/>
    </xf>
    <xf numFmtId="0" fontId="12" fillId="6" borderId="36" xfId="0" applyFont="1" applyFill="1" applyBorder="1" applyAlignment="1">
      <alignment horizontal="center" vertical="center"/>
    </xf>
    <xf numFmtId="0" fontId="12" fillId="6" borderId="38" xfId="0" applyFont="1" applyFill="1" applyBorder="1" applyAlignment="1">
      <alignment horizontal="center" vertical="center"/>
    </xf>
    <xf numFmtId="0" fontId="12" fillId="6" borderId="37" xfId="0" applyFont="1" applyFill="1" applyBorder="1" applyAlignment="1">
      <alignment horizontal="center" vertical="center"/>
    </xf>
    <xf numFmtId="0" fontId="0" fillId="0" borderId="6" xfId="0" applyBorder="1" applyAlignment="1">
      <alignment horizontal="right" vertical="center"/>
    </xf>
    <xf numFmtId="0" fontId="0" fillId="0" borderId="0" xfId="0" applyBorder="1" applyAlignment="1">
      <alignment horizontal="right" vertical="center"/>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Border="1" applyAlignment="1">
      <alignment horizontal="center" vertical="center" wrapText="1"/>
    </xf>
    <xf numFmtId="0" fontId="0" fillId="7" borderId="36" xfId="0" applyFont="1" applyFill="1" applyBorder="1" applyAlignment="1">
      <alignment horizontal="center" vertical="center"/>
    </xf>
    <xf numFmtId="0" fontId="0" fillId="7" borderId="38" xfId="0" applyFont="1" applyFill="1" applyBorder="1" applyAlignment="1">
      <alignment horizontal="center" vertical="center"/>
    </xf>
    <xf numFmtId="0" fontId="0" fillId="7" borderId="37"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9" borderId="36" xfId="0" applyFont="1" applyFill="1" applyBorder="1" applyAlignment="1">
      <alignment horizontal="center" vertical="center" wrapText="1"/>
    </xf>
    <xf numFmtId="0" fontId="0" fillId="9" borderId="38" xfId="0" applyFont="1" applyFill="1" applyBorder="1" applyAlignment="1">
      <alignment horizontal="center" vertical="center" wrapText="1"/>
    </xf>
    <xf numFmtId="0" fontId="0" fillId="9" borderId="37" xfId="0" applyFont="1" applyFill="1" applyBorder="1" applyAlignment="1">
      <alignment horizontal="center" vertical="center" wrapText="1"/>
    </xf>
    <xf numFmtId="0" fontId="0" fillId="4" borderId="43" xfId="0" applyFill="1" applyBorder="1" applyAlignment="1">
      <alignment horizontal="center" vertical="center" wrapText="1"/>
    </xf>
    <xf numFmtId="0" fontId="0" fillId="4" borderId="78" xfId="0" applyFill="1" applyBorder="1" applyAlignment="1">
      <alignment horizontal="center" vertical="center" wrapText="1"/>
    </xf>
    <xf numFmtId="0" fontId="0" fillId="4" borderId="79" xfId="0" applyFill="1" applyBorder="1" applyAlignment="1">
      <alignment horizontal="center" vertical="center" wrapText="1"/>
    </xf>
    <xf numFmtId="0" fontId="12" fillId="10" borderId="94" xfId="0" applyFont="1" applyFill="1" applyBorder="1" applyAlignment="1">
      <alignment horizontal="center" vertical="center"/>
    </xf>
    <xf numFmtId="1" fontId="12" fillId="10" borderId="97" xfId="0" applyNumberFormat="1" applyFont="1" applyFill="1" applyBorder="1" applyAlignment="1">
      <alignment horizontal="center" vertical="center" wrapText="1"/>
    </xf>
    <xf numFmtId="1" fontId="12" fillId="10" borderId="95" xfId="0" applyNumberFormat="1" applyFont="1" applyFill="1" applyBorder="1" applyAlignment="1">
      <alignment horizontal="center" vertical="center" wrapText="1"/>
    </xf>
    <xf numFmtId="0" fontId="0" fillId="0" borderId="30" xfId="0" applyFont="1" applyBorder="1" applyAlignment="1">
      <alignment horizontal="center" vertical="center"/>
    </xf>
    <xf numFmtId="166" fontId="0" fillId="0" borderId="30" xfId="0" applyNumberFormat="1" applyFont="1" applyFill="1" applyBorder="1" applyAlignment="1">
      <alignment horizontal="center" vertical="center"/>
    </xf>
    <xf numFmtId="1" fontId="0" fillId="0" borderId="30" xfId="0" applyNumberFormat="1" applyFont="1" applyBorder="1" applyAlignment="1">
      <alignment horizontal="center" vertical="center"/>
    </xf>
    <xf numFmtId="0" fontId="0" fillId="0" borderId="43" xfId="0" applyBorder="1" applyAlignment="1">
      <alignment horizontal="center" vertical="center" wrapText="1"/>
    </xf>
    <xf numFmtId="0" fontId="0" fillId="0" borderId="79" xfId="0" applyBorder="1" applyAlignment="1">
      <alignment horizontal="center" vertical="center" wrapText="1"/>
    </xf>
    <xf numFmtId="0" fontId="12" fillId="10" borderId="34" xfId="0" applyFont="1" applyFill="1" applyBorder="1" applyAlignment="1">
      <alignment horizontal="center" vertical="center"/>
    </xf>
    <xf numFmtId="0" fontId="12" fillId="10" borderId="101" xfId="0" applyFont="1" applyFill="1" applyBorder="1" applyAlignment="1">
      <alignment horizontal="center" vertical="center"/>
    </xf>
    <xf numFmtId="0" fontId="0" fillId="9" borderId="36" xfId="0" applyFill="1" applyBorder="1" applyAlignment="1">
      <alignment horizontal="center" vertical="center"/>
    </xf>
    <xf numFmtId="0" fontId="0" fillId="9" borderId="37" xfId="0" applyFill="1" applyBorder="1" applyAlignment="1">
      <alignment horizontal="center" vertical="center"/>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19" fillId="12" borderId="102" xfId="0" applyFont="1" applyFill="1" applyBorder="1" applyAlignment="1">
      <alignment horizontal="center" vertical="center" wrapText="1"/>
    </xf>
    <xf numFmtId="0" fontId="19" fillId="12" borderId="103" xfId="0" applyFont="1" applyFill="1" applyBorder="1" applyAlignment="1">
      <alignment horizontal="center" vertical="center" wrapText="1"/>
    </xf>
    <xf numFmtId="0" fontId="19" fillId="12" borderId="104" xfId="0" applyFont="1" applyFill="1" applyBorder="1" applyAlignment="1">
      <alignment horizontal="center" vertical="center" wrapText="1"/>
    </xf>
    <xf numFmtId="0" fontId="19" fillId="12" borderId="105" xfId="0" applyFont="1" applyFill="1" applyBorder="1" applyAlignment="1">
      <alignment horizontal="center" vertical="center" wrapText="1"/>
    </xf>
    <xf numFmtId="1" fontId="12" fillId="10" borderId="106" xfId="0" applyNumberFormat="1" applyFont="1" applyFill="1" applyBorder="1" applyAlignment="1">
      <alignment horizontal="center" vertical="center"/>
    </xf>
    <xf numFmtId="1" fontId="12" fillId="10" borderId="107" xfId="0" applyNumberFormat="1" applyFont="1" applyFill="1" applyBorder="1" applyAlignment="1">
      <alignment horizontal="center" vertical="center"/>
    </xf>
    <xf numFmtId="1" fontId="12" fillId="10" borderId="108" xfId="0" applyNumberFormat="1" applyFont="1" applyFill="1" applyBorder="1" applyAlignment="1">
      <alignment horizontal="center" vertical="center"/>
    </xf>
    <xf numFmtId="0" fontId="12" fillId="6" borderId="36" xfId="0" applyFont="1" applyFill="1" applyBorder="1" applyAlignment="1">
      <alignment horizontal="left" vertical="center"/>
    </xf>
    <xf numFmtId="0" fontId="12" fillId="6" borderId="37" xfId="0" applyFont="1" applyFill="1" applyBorder="1" applyAlignment="1">
      <alignment horizontal="left" vertical="center"/>
    </xf>
    <xf numFmtId="1" fontId="12" fillId="10" borderId="92" xfId="0" applyNumberFormat="1" applyFont="1" applyFill="1" applyBorder="1" applyAlignment="1">
      <alignment horizontal="center" vertical="center" wrapText="1"/>
    </xf>
    <xf numFmtId="0" fontId="12" fillId="10" borderId="94" xfId="0" applyFont="1" applyFill="1" applyBorder="1" applyAlignment="1">
      <alignment horizontal="center" vertical="center" textRotation="90"/>
    </xf>
    <xf numFmtId="0" fontId="12" fillId="10" borderId="97" xfId="0" applyFont="1" applyFill="1" applyBorder="1" applyAlignment="1">
      <alignment horizontal="center" vertical="center" textRotation="90"/>
    </xf>
    <xf numFmtId="0" fontId="12" fillId="10" borderId="95" xfId="0" applyFont="1" applyFill="1" applyBorder="1" applyAlignment="1">
      <alignment horizontal="center" vertical="center" textRotation="90"/>
    </xf>
    <xf numFmtId="0" fontId="0" fillId="10" borderId="43" xfId="0" applyFill="1" applyBorder="1" applyAlignment="1">
      <alignment horizontal="center" vertical="center"/>
    </xf>
    <xf numFmtId="0" fontId="0" fillId="10" borderId="78" xfId="0" applyFill="1" applyBorder="1" applyAlignment="1">
      <alignment horizontal="center" vertical="center"/>
    </xf>
    <xf numFmtId="0" fontId="0" fillId="10" borderId="79" xfId="0" applyFill="1" applyBorder="1" applyAlignment="1">
      <alignment horizontal="center" vertical="center"/>
    </xf>
    <xf numFmtId="0" fontId="12" fillId="5" borderId="36" xfId="0" applyFont="1" applyFill="1" applyBorder="1" applyAlignment="1">
      <alignment horizontal="center" vertical="center"/>
    </xf>
    <xf numFmtId="0" fontId="12" fillId="5" borderId="37" xfId="0" applyFont="1" applyFill="1" applyBorder="1" applyAlignment="1">
      <alignment horizontal="center" vertical="center"/>
    </xf>
    <xf numFmtId="0" fontId="0" fillId="7" borderId="30" xfId="0" applyFont="1" applyFill="1" applyBorder="1" applyAlignment="1">
      <alignment horizontal="center" vertical="center" wrapText="1"/>
    </xf>
    <xf numFmtId="0" fontId="12" fillId="5" borderId="30" xfId="0" applyFont="1" applyFill="1" applyBorder="1" applyAlignment="1">
      <alignment horizontal="center" vertical="center" wrapText="1"/>
    </xf>
    <xf numFmtId="1" fontId="12" fillId="10" borderId="94" xfId="0" applyNumberFormat="1" applyFont="1" applyFill="1" applyBorder="1" applyAlignment="1">
      <alignment horizontal="center" vertical="center"/>
    </xf>
    <xf numFmtId="0" fontId="12" fillId="6" borderId="93" xfId="0" applyFont="1" applyFill="1" applyBorder="1" applyAlignment="1">
      <alignment horizontal="left" vertical="center" wrapText="1"/>
    </xf>
    <xf numFmtId="0" fontId="12" fillId="6" borderId="94" xfId="0" applyFont="1" applyFill="1" applyBorder="1" applyAlignment="1">
      <alignment horizontal="left" vertical="center" wrapText="1"/>
    </xf>
    <xf numFmtId="0" fontId="12" fillId="6" borderId="95" xfId="0" applyFont="1" applyFill="1" applyBorder="1" applyAlignment="1">
      <alignment horizontal="left" vertical="center" wrapText="1"/>
    </xf>
    <xf numFmtId="166" fontId="12" fillId="10" borderId="36" xfId="0" applyNumberFormat="1" applyFont="1" applyFill="1" applyBorder="1" applyAlignment="1">
      <alignment horizontal="center" vertical="center" wrapText="1"/>
    </xf>
    <xf numFmtId="166" fontId="12" fillId="10" borderId="37" xfId="0" applyNumberFormat="1" applyFont="1" applyFill="1" applyBorder="1" applyAlignment="1">
      <alignment horizontal="center" vertical="center" wrapText="1"/>
    </xf>
  </cellXfs>
  <cellStyles count="8">
    <cellStyle name="Bad" xfId="7" builtinId="27"/>
    <cellStyle name="Calculation" xfId="1" builtinId="22"/>
    <cellStyle name="Comma" xfId="2" builtinId="3"/>
    <cellStyle name="Currency" xfId="3" builtinId="4"/>
    <cellStyle name="Hyperlink" xfId="4" builtinId="8"/>
    <cellStyle name="Input" xfId="5" builtinId="20"/>
    <cellStyle name="Normal" xfId="0" builtinId="0"/>
    <cellStyle name="Percent" xfId="6"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DEFE7"/>
      <color rgb="FFD9EB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theme" Target="theme/theme1.xml"/><Relationship Id="rId3" Type="http://schemas.openxmlformats.org/officeDocument/2006/relationships/worksheet" Target="worksheets/sheet2.xml"/><Relationship Id="rId21" Type="http://schemas.openxmlformats.org/officeDocument/2006/relationships/calcChain" Target="calcChain.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customXml" Target="../customXml/item4.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customXml" Target="../customXml/item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customXml" Target="../customXml/item2.xml"/><Relationship Id="rId10" Type="http://schemas.openxmlformats.org/officeDocument/2006/relationships/worksheet" Target="worksheets/sheet9.xml"/><Relationship Id="rId19" Type="http://schemas.openxmlformats.org/officeDocument/2006/relationships/styles" Target="styles.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'Cover Sheet'!$AG$2:$AG$4</c:f>
              <c:strCache>
                <c:ptCount val="3"/>
                <c:pt idx="0">
                  <c:v>Total High Cost Estimate</c:v>
                </c:pt>
                <c:pt idx="1">
                  <c:v>Annual High Cost Estimates for Town</c:v>
                </c:pt>
                <c:pt idx="2">
                  <c:v>YR2</c:v>
                </c:pt>
              </c:strCache>
            </c:strRef>
          </c:tx>
          <c:spPr>
            <a:solidFill>
              <a:schemeClr val="accent1"/>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Sheet'!$AG$5:$AG$38</c:f>
              <c:numCache>
                <c:formatCode>"$"#,##0</c:formatCode>
                <c:ptCount val="34"/>
                <c:pt idx="0">
                  <c:v>0</c:v>
                </c:pt>
                <c:pt idx="1">
                  <c:v>0</c:v>
                </c:pt>
                <c:pt idx="2">
                  <c:v>14760</c:v>
                </c:pt>
                <c:pt idx="3">
                  <c:v>3400</c:v>
                </c:pt>
                <c:pt idx="5">
                  <c:v>0</c:v>
                </c:pt>
                <c:pt idx="6">
                  <c:v>33601</c:v>
                </c:pt>
                <c:pt idx="7">
                  <c:v>5333.333333333333</c:v>
                </c:pt>
                <c:pt idx="8">
                  <c:v>7245.7058666666671</c:v>
                </c:pt>
                <c:pt idx="9">
                  <c:v>0</c:v>
                </c:pt>
                <c:pt idx="10">
                  <c:v>478.58820000000003</c:v>
                </c:pt>
                <c:pt idx="11">
                  <c:v>2500</c:v>
                </c:pt>
                <c:pt idx="13">
                  <c:v>0</c:v>
                </c:pt>
                <c:pt idx="14">
                  <c:v>0</c:v>
                </c:pt>
                <c:pt idx="16">
                  <c:v>12000</c:v>
                </c:pt>
                <c:pt idx="17">
                  <c:v>0</c:v>
                </c:pt>
                <c:pt idx="18">
                  <c:v>0</c:v>
                </c:pt>
                <c:pt idx="20">
                  <c:v>38800</c:v>
                </c:pt>
                <c:pt idx="21">
                  <c:v>8400</c:v>
                </c:pt>
                <c:pt idx="22">
                  <c:v>15000</c:v>
                </c:pt>
                <c:pt idx="23">
                  <c:v>11625</c:v>
                </c:pt>
                <c:pt idx="24">
                  <c:v>10000</c:v>
                </c:pt>
                <c:pt idx="25">
                  <c:v>10000</c:v>
                </c:pt>
                <c:pt idx="26">
                  <c:v>1400</c:v>
                </c:pt>
                <c:pt idx="27">
                  <c:v>10320</c:v>
                </c:pt>
                <c:pt idx="28" formatCode="General">
                  <c:v>0</c:v>
                </c:pt>
                <c:pt idx="29">
                  <c:v>184863.6274</c:v>
                </c:pt>
                <c:pt idx="30">
                  <c:v>0</c:v>
                </c:pt>
                <c:pt idx="31">
                  <c:v>16765.588</c:v>
                </c:pt>
                <c:pt idx="32">
                  <c:v>14638</c:v>
                </c:pt>
              </c:numCache>
            </c:numRef>
          </c:val>
          <c:extLst>
            <c:ext xmlns:c16="http://schemas.microsoft.com/office/drawing/2014/chart" uri="{C3380CC4-5D6E-409C-BE32-E72D297353CC}">
              <c16:uniqueId val="{00000000-A511-4159-B0DF-B9D25402263B}"/>
            </c:ext>
          </c:extLst>
        </c:ser>
        <c:ser>
          <c:idx val="1"/>
          <c:order val="1"/>
          <c:tx>
            <c:strRef>
              <c:f>'Cover Sheet'!$AH$2:$AH$4</c:f>
              <c:strCache>
                <c:ptCount val="3"/>
                <c:pt idx="0">
                  <c:v>Total High Cost Estimate</c:v>
                </c:pt>
                <c:pt idx="1">
                  <c:v>Annual High Cost Estimates for Town</c:v>
                </c:pt>
                <c:pt idx="2">
                  <c:v>YR3</c:v>
                </c:pt>
              </c:strCache>
            </c:strRef>
          </c:tx>
          <c:spPr>
            <a:solidFill>
              <a:schemeClr val="accent2"/>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Sheet'!$AH$5:$AH$38</c:f>
              <c:numCache>
                <c:formatCode>"$"#,##0</c:formatCode>
                <c:ptCount val="34"/>
                <c:pt idx="0">
                  <c:v>0</c:v>
                </c:pt>
                <c:pt idx="1">
                  <c:v>0</c:v>
                </c:pt>
                <c:pt idx="2">
                  <c:v>14760</c:v>
                </c:pt>
                <c:pt idx="3">
                  <c:v>3400</c:v>
                </c:pt>
                <c:pt idx="5">
                  <c:v>0</c:v>
                </c:pt>
                <c:pt idx="6">
                  <c:v>0</c:v>
                </c:pt>
                <c:pt idx="7">
                  <c:v>5333.333333333333</c:v>
                </c:pt>
                <c:pt idx="8">
                  <c:v>7245.7058666666671</c:v>
                </c:pt>
                <c:pt idx="9">
                  <c:v>325.14699999999993</c:v>
                </c:pt>
                <c:pt idx="10">
                  <c:v>478.58820000000003</c:v>
                </c:pt>
                <c:pt idx="11">
                  <c:v>2500</c:v>
                </c:pt>
                <c:pt idx="13">
                  <c:v>0</c:v>
                </c:pt>
                <c:pt idx="14">
                  <c:v>0</c:v>
                </c:pt>
                <c:pt idx="16">
                  <c:v>0</c:v>
                </c:pt>
                <c:pt idx="17">
                  <c:v>0</c:v>
                </c:pt>
                <c:pt idx="18">
                  <c:v>0</c:v>
                </c:pt>
                <c:pt idx="20">
                  <c:v>0</c:v>
                </c:pt>
                <c:pt idx="21">
                  <c:v>0</c:v>
                </c:pt>
                <c:pt idx="22">
                  <c:v>0</c:v>
                </c:pt>
                <c:pt idx="23">
                  <c:v>11625</c:v>
                </c:pt>
                <c:pt idx="24">
                  <c:v>10000</c:v>
                </c:pt>
                <c:pt idx="25">
                  <c:v>10000</c:v>
                </c:pt>
                <c:pt idx="26">
                  <c:v>1400</c:v>
                </c:pt>
                <c:pt idx="27">
                  <c:v>10320</c:v>
                </c:pt>
                <c:pt idx="28" formatCode="General">
                  <c:v>0</c:v>
                </c:pt>
                <c:pt idx="29">
                  <c:v>77387.774399999995</c:v>
                </c:pt>
                <c:pt idx="30">
                  <c:v>0</c:v>
                </c:pt>
                <c:pt idx="31">
                  <c:v>16765.588</c:v>
                </c:pt>
                <c:pt idx="32">
                  <c:v>14638</c:v>
                </c:pt>
              </c:numCache>
            </c:numRef>
          </c:val>
          <c:extLst>
            <c:ext xmlns:c16="http://schemas.microsoft.com/office/drawing/2014/chart" uri="{C3380CC4-5D6E-409C-BE32-E72D297353CC}">
              <c16:uniqueId val="{00000001-A511-4159-B0DF-B9D25402263B}"/>
            </c:ext>
          </c:extLst>
        </c:ser>
        <c:ser>
          <c:idx val="2"/>
          <c:order val="2"/>
          <c:tx>
            <c:strRef>
              <c:f>'Cover Sheet'!$AI$2:$AI$4</c:f>
              <c:strCache>
                <c:ptCount val="3"/>
                <c:pt idx="0">
                  <c:v>Total High Cost Estimate</c:v>
                </c:pt>
                <c:pt idx="1">
                  <c:v>Annual High Cost Estimates for Town</c:v>
                </c:pt>
                <c:pt idx="2">
                  <c:v>YR4</c:v>
                </c:pt>
              </c:strCache>
            </c:strRef>
          </c:tx>
          <c:spPr>
            <a:solidFill>
              <a:schemeClr val="accent3"/>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Sheet'!$AI$5:$AI$38</c:f>
              <c:numCache>
                <c:formatCode>"$"#,##0</c:formatCode>
                <c:ptCount val="34"/>
                <c:pt idx="0">
                  <c:v>0</c:v>
                </c:pt>
                <c:pt idx="1">
                  <c:v>0</c:v>
                </c:pt>
                <c:pt idx="2">
                  <c:v>14760</c:v>
                </c:pt>
                <c:pt idx="3">
                  <c:v>3400</c:v>
                </c:pt>
                <c:pt idx="5">
                  <c:v>0</c:v>
                </c:pt>
                <c:pt idx="6">
                  <c:v>0</c:v>
                </c:pt>
                <c:pt idx="7">
                  <c:v>0</c:v>
                </c:pt>
                <c:pt idx="8">
                  <c:v>0</c:v>
                </c:pt>
                <c:pt idx="9">
                  <c:v>325.14699999999993</c:v>
                </c:pt>
                <c:pt idx="10">
                  <c:v>478.58820000000003</c:v>
                </c:pt>
                <c:pt idx="11">
                  <c:v>2500</c:v>
                </c:pt>
                <c:pt idx="13">
                  <c:v>0</c:v>
                </c:pt>
                <c:pt idx="14">
                  <c:v>0</c:v>
                </c:pt>
                <c:pt idx="16">
                  <c:v>0</c:v>
                </c:pt>
                <c:pt idx="17">
                  <c:v>13600</c:v>
                </c:pt>
                <c:pt idx="18">
                  <c:v>56800</c:v>
                </c:pt>
                <c:pt idx="20">
                  <c:v>0</c:v>
                </c:pt>
                <c:pt idx="21">
                  <c:v>0</c:v>
                </c:pt>
                <c:pt idx="22">
                  <c:v>0</c:v>
                </c:pt>
                <c:pt idx="23">
                  <c:v>11625</c:v>
                </c:pt>
                <c:pt idx="24">
                  <c:v>10000</c:v>
                </c:pt>
                <c:pt idx="25">
                  <c:v>10000</c:v>
                </c:pt>
                <c:pt idx="26">
                  <c:v>1400</c:v>
                </c:pt>
                <c:pt idx="27">
                  <c:v>10320</c:v>
                </c:pt>
                <c:pt idx="28" formatCode="General">
                  <c:v>0</c:v>
                </c:pt>
                <c:pt idx="29">
                  <c:v>135208.7352</c:v>
                </c:pt>
                <c:pt idx="30">
                  <c:v>0</c:v>
                </c:pt>
                <c:pt idx="31">
                  <c:v>16765.588</c:v>
                </c:pt>
                <c:pt idx="32">
                  <c:v>14638</c:v>
                </c:pt>
              </c:numCache>
            </c:numRef>
          </c:val>
          <c:extLst>
            <c:ext xmlns:c16="http://schemas.microsoft.com/office/drawing/2014/chart" uri="{C3380CC4-5D6E-409C-BE32-E72D297353CC}">
              <c16:uniqueId val="{00000002-A511-4159-B0DF-B9D25402263B}"/>
            </c:ext>
          </c:extLst>
        </c:ser>
        <c:ser>
          <c:idx val="3"/>
          <c:order val="3"/>
          <c:tx>
            <c:strRef>
              <c:f>'Cover Sheet'!$AJ$2:$AJ$4</c:f>
              <c:strCache>
                <c:ptCount val="3"/>
                <c:pt idx="0">
                  <c:v>Total High Cost Estimate</c:v>
                </c:pt>
                <c:pt idx="1">
                  <c:v>Annual High Cost Estimates for Town</c:v>
                </c:pt>
                <c:pt idx="2">
                  <c:v>YR5</c:v>
                </c:pt>
              </c:strCache>
            </c:strRef>
          </c:tx>
          <c:spPr>
            <a:solidFill>
              <a:schemeClr val="accent4"/>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Sheet'!$AJ$5:$AJ$38</c:f>
              <c:numCache>
                <c:formatCode>"$"#,##0</c:formatCode>
                <c:ptCount val="34"/>
                <c:pt idx="0">
                  <c:v>0</c:v>
                </c:pt>
                <c:pt idx="1">
                  <c:v>0</c:v>
                </c:pt>
                <c:pt idx="2">
                  <c:v>14760</c:v>
                </c:pt>
                <c:pt idx="3">
                  <c:v>3400</c:v>
                </c:pt>
                <c:pt idx="5">
                  <c:v>0</c:v>
                </c:pt>
                <c:pt idx="6">
                  <c:v>0</c:v>
                </c:pt>
                <c:pt idx="7">
                  <c:v>0</c:v>
                </c:pt>
                <c:pt idx="8">
                  <c:v>0</c:v>
                </c:pt>
                <c:pt idx="9">
                  <c:v>325.14699999999993</c:v>
                </c:pt>
                <c:pt idx="10">
                  <c:v>478.58820000000003</c:v>
                </c:pt>
                <c:pt idx="11">
                  <c:v>2500</c:v>
                </c:pt>
                <c:pt idx="13">
                  <c:v>0</c:v>
                </c:pt>
                <c:pt idx="14">
                  <c:v>0</c:v>
                </c:pt>
                <c:pt idx="16">
                  <c:v>0</c:v>
                </c:pt>
                <c:pt idx="17">
                  <c:v>0</c:v>
                </c:pt>
                <c:pt idx="18">
                  <c:v>0</c:v>
                </c:pt>
                <c:pt idx="20">
                  <c:v>0</c:v>
                </c:pt>
                <c:pt idx="21">
                  <c:v>0</c:v>
                </c:pt>
                <c:pt idx="22">
                  <c:v>0</c:v>
                </c:pt>
                <c:pt idx="23">
                  <c:v>11625</c:v>
                </c:pt>
                <c:pt idx="24">
                  <c:v>10000</c:v>
                </c:pt>
                <c:pt idx="25">
                  <c:v>10000</c:v>
                </c:pt>
                <c:pt idx="26">
                  <c:v>1400</c:v>
                </c:pt>
                <c:pt idx="27">
                  <c:v>10320</c:v>
                </c:pt>
                <c:pt idx="28" formatCode="General">
                  <c:v>0</c:v>
                </c:pt>
                <c:pt idx="29">
                  <c:v>64808.735199999996</c:v>
                </c:pt>
                <c:pt idx="30">
                  <c:v>0</c:v>
                </c:pt>
                <c:pt idx="31">
                  <c:v>16765.588</c:v>
                </c:pt>
                <c:pt idx="32">
                  <c:v>14638</c:v>
                </c:pt>
              </c:numCache>
            </c:numRef>
          </c:val>
          <c:extLst>
            <c:ext xmlns:c16="http://schemas.microsoft.com/office/drawing/2014/chart" uri="{C3380CC4-5D6E-409C-BE32-E72D297353CC}">
              <c16:uniqueId val="{00000003-A511-4159-B0DF-B9D25402263B}"/>
            </c:ext>
          </c:extLst>
        </c:ser>
        <c:ser>
          <c:idx val="4"/>
          <c:order val="4"/>
          <c:tx>
            <c:strRef>
              <c:f>'Cover Sheet'!$AK$2:$AK$4</c:f>
              <c:strCache>
                <c:ptCount val="3"/>
                <c:pt idx="0">
                  <c:v>Total High Cost Estimate</c:v>
                </c:pt>
                <c:pt idx="1">
                  <c:v>Annual High Cost Estimates for Town</c:v>
                </c:pt>
                <c:pt idx="2">
                  <c:v>Town</c:v>
                </c:pt>
              </c:strCache>
            </c:strRef>
          </c:tx>
          <c:spPr>
            <a:solidFill>
              <a:schemeClr val="accent5"/>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Sheet'!$AK$5:$AK$38</c:f>
              <c:numCache>
                <c:formatCode>_("$"* #,##0_);_("$"* \(#,##0\);_("$"* "-"??_);_(@_)</c:formatCode>
                <c:ptCount val="34"/>
                <c:pt idx="0">
                  <c:v>11200</c:v>
                </c:pt>
                <c:pt idx="1">
                  <c:v>20400</c:v>
                </c:pt>
                <c:pt idx="2">
                  <c:v>73800</c:v>
                </c:pt>
                <c:pt idx="3">
                  <c:v>17000</c:v>
                </c:pt>
                <c:pt idx="4">
                  <c:v>125128.9114</c:v>
                </c:pt>
                <c:pt idx="5">
                  <c:v>4800</c:v>
                </c:pt>
                <c:pt idx="6">
                  <c:v>67202</c:v>
                </c:pt>
                <c:pt idx="7">
                  <c:v>16000</c:v>
                </c:pt>
                <c:pt idx="8">
                  <c:v>21737.117600000001</c:v>
                </c:pt>
                <c:pt idx="9">
                  <c:v>975.4409999999998</c:v>
                </c:pt>
                <c:pt idx="10">
                  <c:v>1914.3528000000001</c:v>
                </c:pt>
                <c:pt idx="11">
                  <c:v>12500</c:v>
                </c:pt>
                <c:pt idx="12">
                  <c:v>21600</c:v>
                </c:pt>
                <c:pt idx="13">
                  <c:v>6000</c:v>
                </c:pt>
                <c:pt idx="14">
                  <c:v>15600</c:v>
                </c:pt>
                <c:pt idx="15">
                  <c:v>82400</c:v>
                </c:pt>
                <c:pt idx="16">
                  <c:v>12000</c:v>
                </c:pt>
                <c:pt idx="17">
                  <c:v>13600</c:v>
                </c:pt>
                <c:pt idx="18">
                  <c:v>56800</c:v>
                </c:pt>
                <c:pt idx="19">
                  <c:v>215700</c:v>
                </c:pt>
                <c:pt idx="20">
                  <c:v>38800</c:v>
                </c:pt>
                <c:pt idx="21">
                  <c:v>8400</c:v>
                </c:pt>
                <c:pt idx="22">
                  <c:v>15000</c:v>
                </c:pt>
                <c:pt idx="23">
                  <c:v>46500</c:v>
                </c:pt>
                <c:pt idx="24">
                  <c:v>50000</c:v>
                </c:pt>
                <c:pt idx="25">
                  <c:v>50000</c:v>
                </c:pt>
                <c:pt idx="26">
                  <c:v>7000</c:v>
                </c:pt>
                <c:pt idx="27">
                  <c:v>51600</c:v>
                </c:pt>
              </c:numCache>
            </c:numRef>
          </c:val>
          <c:extLst>
            <c:ext xmlns:c16="http://schemas.microsoft.com/office/drawing/2014/chart" uri="{C3380CC4-5D6E-409C-BE32-E72D297353CC}">
              <c16:uniqueId val="{00000004-A511-4159-B0DF-B9D25402263B}"/>
            </c:ext>
          </c:extLst>
        </c:ser>
        <c:ser>
          <c:idx val="5"/>
          <c:order val="5"/>
          <c:tx>
            <c:strRef>
              <c:f>'Cover Sheet'!$AL$2:$AL$4</c:f>
              <c:strCache>
                <c:ptCount val="3"/>
                <c:pt idx="0">
                  <c:v>Total High Cost Estimate</c:v>
                </c:pt>
                <c:pt idx="1">
                  <c:v>Annual High Cost Estimates for Consultant</c:v>
                </c:pt>
                <c:pt idx="2">
                  <c:v>YR1</c:v>
                </c:pt>
              </c:strCache>
            </c:strRef>
          </c:tx>
          <c:spPr>
            <a:solidFill>
              <a:schemeClr val="accent6"/>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Sheet'!$AL$5:$AL$38</c:f>
              <c:numCache>
                <c:formatCode>"$"#,##0</c:formatCode>
                <c:ptCount val="34"/>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formatCode="General">
                  <c:v>0</c:v>
                </c:pt>
                <c:pt idx="30">
                  <c:v>184338.62719999999</c:v>
                </c:pt>
              </c:numCache>
            </c:numRef>
          </c:val>
          <c:extLst>
            <c:ext xmlns:c16="http://schemas.microsoft.com/office/drawing/2014/chart" uri="{C3380CC4-5D6E-409C-BE32-E72D297353CC}">
              <c16:uniqueId val="{00000005-A511-4159-B0DF-B9D25402263B}"/>
            </c:ext>
          </c:extLst>
        </c:ser>
        <c:ser>
          <c:idx val="6"/>
          <c:order val="6"/>
          <c:tx>
            <c:strRef>
              <c:f>'Cover Sheet'!$AM$2:$AM$4</c:f>
              <c:strCache>
                <c:ptCount val="3"/>
                <c:pt idx="0">
                  <c:v>Total High Cost Estimate</c:v>
                </c:pt>
                <c:pt idx="1">
                  <c:v>Annual High Cost Estimates for Consultant</c:v>
                </c:pt>
                <c:pt idx="2">
                  <c:v>YR2</c:v>
                </c:pt>
              </c:strCache>
            </c:strRef>
          </c:tx>
          <c:spPr>
            <a:solidFill>
              <a:schemeClr val="accent1">
                <a:lumMod val="60000"/>
              </a:schemeClr>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Sheet'!$AM$5:$AM$38</c:f>
              <c:numCache>
                <c:formatCode>"$"#,##0</c:formatCode>
                <c:ptCount val="34"/>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formatCode="General">
                  <c:v>0</c:v>
                </c:pt>
                <c:pt idx="30">
                  <c:v>216267.21539999999</c:v>
                </c:pt>
              </c:numCache>
            </c:numRef>
          </c:val>
          <c:extLst>
            <c:ext xmlns:c16="http://schemas.microsoft.com/office/drawing/2014/chart" uri="{C3380CC4-5D6E-409C-BE32-E72D297353CC}">
              <c16:uniqueId val="{00000006-A511-4159-B0DF-B9D25402263B}"/>
            </c:ext>
          </c:extLst>
        </c:ser>
        <c:ser>
          <c:idx val="7"/>
          <c:order val="7"/>
          <c:tx>
            <c:strRef>
              <c:f>'Cover Sheet'!$AN$2:$AN$4</c:f>
              <c:strCache>
                <c:ptCount val="3"/>
                <c:pt idx="0">
                  <c:v>Total High Cost Estimate</c:v>
                </c:pt>
                <c:pt idx="1">
                  <c:v>Annual High Cost Estimates for Consultant</c:v>
                </c:pt>
                <c:pt idx="2">
                  <c:v>YR3</c:v>
                </c:pt>
              </c:strCache>
            </c:strRef>
          </c:tx>
          <c:spPr>
            <a:solidFill>
              <a:schemeClr val="accent2">
                <a:lumMod val="60000"/>
              </a:schemeClr>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Sheet'!$AN$5:$AN$38</c:f>
              <c:numCache>
                <c:formatCode>"$"#,##0</c:formatCode>
                <c:ptCount val="34"/>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formatCode="General">
                  <c:v>0</c:v>
                </c:pt>
                <c:pt idx="30">
                  <c:v>108791.3624</c:v>
                </c:pt>
                <c:pt idx="31" formatCode="General">
                  <c:v>0</c:v>
                </c:pt>
                <c:pt idx="32" formatCode="General">
                  <c:v>0</c:v>
                </c:pt>
              </c:numCache>
            </c:numRef>
          </c:val>
          <c:extLst>
            <c:ext xmlns:c16="http://schemas.microsoft.com/office/drawing/2014/chart" uri="{C3380CC4-5D6E-409C-BE32-E72D297353CC}">
              <c16:uniqueId val="{00000007-A511-4159-B0DF-B9D25402263B}"/>
            </c:ext>
          </c:extLst>
        </c:ser>
        <c:ser>
          <c:idx val="8"/>
          <c:order val="8"/>
          <c:tx>
            <c:strRef>
              <c:f>'Cover Sheet'!$AO$2:$AO$4</c:f>
              <c:strCache>
                <c:ptCount val="3"/>
                <c:pt idx="0">
                  <c:v>Total High Cost Estimate</c:v>
                </c:pt>
                <c:pt idx="1">
                  <c:v>Annual High Cost Estimates for Consultant</c:v>
                </c:pt>
                <c:pt idx="2">
                  <c:v>YR4</c:v>
                </c:pt>
              </c:strCache>
            </c:strRef>
          </c:tx>
          <c:spPr>
            <a:solidFill>
              <a:schemeClr val="accent3">
                <a:lumMod val="60000"/>
              </a:schemeClr>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Sheet'!$AO$5:$AO$38</c:f>
              <c:numCache>
                <c:formatCode>"$"#,##0</c:formatCode>
                <c:ptCount val="34"/>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formatCode="General">
                  <c:v>0</c:v>
                </c:pt>
                <c:pt idx="30">
                  <c:v>166612.32319999998</c:v>
                </c:pt>
                <c:pt idx="31" formatCode="_(&quot;$&quot;* #,##0_);_(&quot;$&quot;* \(#,##0\);_(&quot;$&quot;* &quot;-&quot;??_);_(@_)">
                  <c:v>772221.85139999993</c:v>
                </c:pt>
                <c:pt idx="32" formatCode="_(&quot;$&quot;* #,##0.00_);_(&quot;$&quot;* \(#,##0.00\);_(&quot;$&quot;* &quot;-&quot;??_);_(@_)">
                  <c:v>570000</c:v>
                </c:pt>
              </c:numCache>
            </c:numRef>
          </c:val>
          <c:extLst>
            <c:ext xmlns:c16="http://schemas.microsoft.com/office/drawing/2014/chart" uri="{C3380CC4-5D6E-409C-BE32-E72D297353CC}">
              <c16:uniqueId val="{00000008-A511-4159-B0DF-B9D25402263B}"/>
            </c:ext>
          </c:extLst>
        </c:ser>
        <c:ser>
          <c:idx val="9"/>
          <c:order val="9"/>
          <c:tx>
            <c:strRef>
              <c:f>'Cover Sheet'!$AP$2:$AP$4</c:f>
              <c:strCache>
                <c:ptCount val="3"/>
                <c:pt idx="0">
                  <c:v>Total High Cost Estimate</c:v>
                </c:pt>
                <c:pt idx="1">
                  <c:v>Annual High Cost Estimates for Consultant</c:v>
                </c:pt>
                <c:pt idx="2">
                  <c:v>YR5</c:v>
                </c:pt>
              </c:strCache>
            </c:strRef>
          </c:tx>
          <c:spPr>
            <a:solidFill>
              <a:schemeClr val="accent4">
                <a:lumMod val="60000"/>
              </a:schemeClr>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Sheet'!$AP$5:$AP$38</c:f>
              <c:numCache>
                <c:formatCode>"$"#,##0</c:formatCode>
                <c:ptCount val="34"/>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formatCode="General">
                  <c:v>0</c:v>
                </c:pt>
                <c:pt idx="30">
                  <c:v>96212.323199999999</c:v>
                </c:pt>
              </c:numCache>
            </c:numRef>
          </c:val>
          <c:extLst>
            <c:ext xmlns:c16="http://schemas.microsoft.com/office/drawing/2014/chart" uri="{C3380CC4-5D6E-409C-BE32-E72D297353CC}">
              <c16:uniqueId val="{00000009-A511-4159-B0DF-B9D25402263B}"/>
            </c:ext>
          </c:extLst>
        </c:ser>
        <c:ser>
          <c:idx val="10"/>
          <c:order val="10"/>
          <c:tx>
            <c:strRef>
              <c:f>'Cover Sheet'!$AQ$2:$AQ$4</c:f>
              <c:strCache>
                <c:ptCount val="3"/>
                <c:pt idx="0">
                  <c:v>Total High Cost Estimate</c:v>
                </c:pt>
                <c:pt idx="1">
                  <c:v>Annual High Cost Estimates for Consultant</c:v>
                </c:pt>
                <c:pt idx="2">
                  <c:v>Consultant</c:v>
                </c:pt>
              </c:strCache>
            </c:strRef>
          </c:tx>
          <c:spPr>
            <a:solidFill>
              <a:schemeClr val="accent5">
                <a:lumMod val="60000"/>
              </a:schemeClr>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Sheet'!$AQ$5:$AQ$38</c:f>
              <c:numCache>
                <c:formatCode>_("$"* #,##0_);_("$"* \(#,##0\);_("$"* "-"??_);_(@_)</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A-A511-4159-B0DF-B9D25402263B}"/>
            </c:ext>
          </c:extLst>
        </c:ser>
        <c:ser>
          <c:idx val="11"/>
          <c:order val="11"/>
          <c:tx>
            <c:strRef>
              <c:f>'Cover Sheet'!$AR$2:$AR$4</c:f>
              <c:strCache>
                <c:ptCount val="3"/>
                <c:pt idx="0">
                  <c:v>Total High Cost Estimate</c:v>
                </c:pt>
                <c:pt idx="1">
                  <c:v>Annual High Cost Estimates for Consultant</c:v>
                </c:pt>
                <c:pt idx="2">
                  <c:v>5-Yr Total</c:v>
                </c:pt>
              </c:strCache>
            </c:strRef>
          </c:tx>
          <c:spPr>
            <a:solidFill>
              <a:schemeClr val="accent6">
                <a:lumMod val="60000"/>
              </a:schemeClr>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Sheet'!$AR$5:$AR$38</c:f>
              <c:numCache>
                <c:formatCode>_("$"* #,##0_);_("$"* \(#,##0\);_("$"* "-"??_);_(@_)</c:formatCode>
                <c:ptCount val="34"/>
                <c:pt idx="0">
                  <c:v>11200</c:v>
                </c:pt>
                <c:pt idx="1">
                  <c:v>20400</c:v>
                </c:pt>
                <c:pt idx="2">
                  <c:v>73800</c:v>
                </c:pt>
                <c:pt idx="3">
                  <c:v>17000</c:v>
                </c:pt>
                <c:pt idx="4">
                  <c:v>125128.9114</c:v>
                </c:pt>
                <c:pt idx="5">
                  <c:v>4800</c:v>
                </c:pt>
                <c:pt idx="6">
                  <c:v>67202</c:v>
                </c:pt>
                <c:pt idx="7">
                  <c:v>16000</c:v>
                </c:pt>
                <c:pt idx="8">
                  <c:v>21737.117600000001</c:v>
                </c:pt>
                <c:pt idx="9">
                  <c:v>975.4409999999998</c:v>
                </c:pt>
                <c:pt idx="10">
                  <c:v>1914.3528000000001</c:v>
                </c:pt>
                <c:pt idx="11">
                  <c:v>12500</c:v>
                </c:pt>
                <c:pt idx="12">
                  <c:v>21600</c:v>
                </c:pt>
                <c:pt idx="13">
                  <c:v>6000</c:v>
                </c:pt>
                <c:pt idx="14">
                  <c:v>15600</c:v>
                </c:pt>
                <c:pt idx="15">
                  <c:v>82400</c:v>
                </c:pt>
                <c:pt idx="16">
                  <c:v>12000</c:v>
                </c:pt>
                <c:pt idx="17">
                  <c:v>13600</c:v>
                </c:pt>
                <c:pt idx="18">
                  <c:v>56800</c:v>
                </c:pt>
                <c:pt idx="19">
                  <c:v>215700</c:v>
                </c:pt>
                <c:pt idx="20">
                  <c:v>38800</c:v>
                </c:pt>
                <c:pt idx="21">
                  <c:v>8400</c:v>
                </c:pt>
                <c:pt idx="22">
                  <c:v>15000</c:v>
                </c:pt>
                <c:pt idx="23">
                  <c:v>46500</c:v>
                </c:pt>
                <c:pt idx="24">
                  <c:v>50000</c:v>
                </c:pt>
                <c:pt idx="25">
                  <c:v>50000</c:v>
                </c:pt>
                <c:pt idx="26">
                  <c:v>7000</c:v>
                </c:pt>
                <c:pt idx="27">
                  <c:v>51600</c:v>
                </c:pt>
              </c:numCache>
            </c:numRef>
          </c:val>
          <c:extLst>
            <c:ext xmlns:c16="http://schemas.microsoft.com/office/drawing/2014/chart" uri="{C3380CC4-5D6E-409C-BE32-E72D297353CC}">
              <c16:uniqueId val="{0000000B-A511-4159-B0DF-B9D25402263B}"/>
            </c:ext>
          </c:extLst>
        </c:ser>
        <c:ser>
          <c:idx val="12"/>
          <c:order val="12"/>
          <c:tx>
            <c:strRef>
              <c:f>'Cover Sheet'!$AS$2:$AS$4</c:f>
              <c:strCache>
                <c:ptCount val="3"/>
                <c:pt idx="0">
                  <c:v>% Overall Cost</c:v>
                </c:pt>
                <c:pt idx="2">
                  <c:v>Low</c:v>
                </c:pt>
              </c:strCache>
            </c:strRef>
          </c:tx>
          <c:spPr>
            <a:solidFill>
              <a:schemeClr val="accent1">
                <a:lumMod val="80000"/>
                <a:lumOff val="20000"/>
              </a:schemeClr>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Sheet'!$AS$5:$AS$38</c:f>
              <c:numCache>
                <c:formatCode>0%</c:formatCode>
                <c:ptCount val="34"/>
                <c:pt idx="0">
                  <c:v>1.3377573992692734E-2</c:v>
                </c:pt>
                <c:pt idx="1">
                  <c:v>3.4246589421293397E-2</c:v>
                </c:pt>
                <c:pt idx="2">
                  <c:v>2.9965765743631724E-2</c:v>
                </c:pt>
                <c:pt idx="3">
                  <c:v>2.4079633186846923E-2</c:v>
                </c:pt>
                <c:pt idx="4">
                  <c:v>0.12553474324566144</c:v>
                </c:pt>
                <c:pt idx="5">
                  <c:v>4.2808236776616746E-3</c:v>
                </c:pt>
                <c:pt idx="6">
                  <c:v>3.6065939484299613E-2</c:v>
                </c:pt>
                <c:pt idx="7">
                  <c:v>6.4212355164925128E-3</c:v>
                </c:pt>
                <c:pt idx="8">
                  <c:v>3.6753861428064326E-2</c:v>
                </c:pt>
                <c:pt idx="9">
                  <c:v>8.6993561020041283E-4</c:v>
                </c:pt>
                <c:pt idx="10">
                  <c:v>1.3050042144288161E-2</c:v>
                </c:pt>
                <c:pt idx="11">
                  <c:v>2.8092905384654743E-2</c:v>
                </c:pt>
                <c:pt idx="12">
                  <c:v>1.1237162153861897E-2</c:v>
                </c:pt>
                <c:pt idx="13">
                  <c:v>1.1237162153861897E-2</c:v>
                </c:pt>
                <c:pt idx="14">
                  <c:v>0</c:v>
                </c:pt>
                <c:pt idx="15">
                  <c:v>0.17444356486471327</c:v>
                </c:pt>
                <c:pt idx="16">
                  <c:v>1.6053088791231282E-2</c:v>
                </c:pt>
                <c:pt idx="17">
                  <c:v>1.9263706549477538E-2</c:v>
                </c:pt>
                <c:pt idx="18">
                  <c:v>0.13912676952400443</c:v>
                </c:pt>
                <c:pt idx="19">
                  <c:v>0.36948859367817333</c:v>
                </c:pt>
                <c:pt idx="20">
                  <c:v>9.2037709069726012E-2</c:v>
                </c:pt>
                <c:pt idx="21">
                  <c:v>1.5250434351669718E-2</c:v>
                </c:pt>
                <c:pt idx="22">
                  <c:v>4.0132721978078205E-2</c:v>
                </c:pt>
                <c:pt idx="23">
                  <c:v>7.2238899560540762E-2</c:v>
                </c:pt>
                <c:pt idx="24">
                  <c:v>6.6887869963463673E-2</c:v>
                </c:pt>
                <c:pt idx="25">
                  <c:v>6.6887869963463673E-2</c:v>
                </c:pt>
                <c:pt idx="26">
                  <c:v>1.6053088791231282E-2</c:v>
                </c:pt>
                <c:pt idx="27">
                  <c:v>6.769052440302524E-2</c:v>
                </c:pt>
              </c:numCache>
            </c:numRef>
          </c:val>
          <c:extLst>
            <c:ext xmlns:c16="http://schemas.microsoft.com/office/drawing/2014/chart" uri="{C3380CC4-5D6E-409C-BE32-E72D297353CC}">
              <c16:uniqueId val="{0000000C-A511-4159-B0DF-B9D25402263B}"/>
            </c:ext>
          </c:extLst>
        </c:ser>
        <c:ser>
          <c:idx val="13"/>
          <c:order val="13"/>
          <c:tx>
            <c:strRef>
              <c:f>'Cover Sheet'!$AT$2:$AT$4</c:f>
              <c:strCache>
                <c:ptCount val="3"/>
                <c:pt idx="0">
                  <c:v>% Overall Cost</c:v>
                </c:pt>
                <c:pt idx="2">
                  <c:v>High</c:v>
                </c:pt>
              </c:strCache>
            </c:strRef>
          </c:tx>
          <c:spPr>
            <a:solidFill>
              <a:schemeClr val="accent2">
                <a:lumMod val="80000"/>
                <a:lumOff val="20000"/>
              </a:schemeClr>
            </a:solidFill>
            <a:ln>
              <a:noFill/>
            </a:ln>
            <a:effectLst/>
          </c:spPr>
          <c:invertIfNegative val="0"/>
          <c:cat>
            <c:multiLvlStrRef>
              <c:f>'Cover Sheet'!$F$5:$AF$38</c:f>
              <c:multiLvlStrCache>
                <c:ptCount val="34"/>
                <c:lvl>
                  <c:pt idx="0">
                    <c:v>$11,200</c:v>
                  </c:pt>
                  <c:pt idx="1">
                    <c:v>$20,400</c:v>
                  </c:pt>
                  <c:pt idx="2">
                    <c:v>$14,760</c:v>
                  </c:pt>
                  <c:pt idx="3">
                    <c:v>$3,400</c:v>
                  </c:pt>
                  <c:pt idx="5">
                    <c:v>$4,800</c:v>
                  </c:pt>
                  <c:pt idx="6">
                    <c:v>$33,601</c:v>
                  </c:pt>
                  <c:pt idx="7">
                    <c:v>$5,333</c:v>
                  </c:pt>
                  <c:pt idx="8">
                    <c:v>$7,246</c:v>
                  </c:pt>
                  <c:pt idx="9">
                    <c:v>$0</c:v>
                  </c:pt>
                  <c:pt idx="10">
                    <c:v>$0</c:v>
                  </c:pt>
                  <c:pt idx="11">
                    <c:v>$2,500</c:v>
                  </c:pt>
                  <c:pt idx="13">
                    <c:v>$6,000</c:v>
                  </c:pt>
                  <c:pt idx="14">
                    <c:v>$15,600</c:v>
                  </c:pt>
                  <c:pt idx="16">
                    <c:v>$0</c:v>
                  </c:pt>
                  <c:pt idx="17">
                    <c:v>$0</c:v>
                  </c:pt>
                  <c:pt idx="18">
                    <c:v>$0</c:v>
                  </c:pt>
                  <c:pt idx="20">
                    <c:v>$0</c:v>
                  </c:pt>
                  <c:pt idx="21">
                    <c:v>$0</c:v>
                  </c:pt>
                  <c:pt idx="22">
                    <c:v>$0</c:v>
                  </c:pt>
                  <c:pt idx="23">
                    <c:v>$0</c:v>
                  </c:pt>
                  <c:pt idx="24">
                    <c:v>$10,000</c:v>
                  </c:pt>
                  <c:pt idx="25">
                    <c:v>$10,000</c:v>
                  </c:pt>
                  <c:pt idx="26">
                    <c:v>$1,400</c:v>
                  </c:pt>
                  <c:pt idx="27">
                    <c:v>$10,320</c:v>
                  </c:pt>
                  <c:pt idx="28">
                    <c:v>YR1</c:v>
                  </c:pt>
                  <c:pt idx="29">
                    <c:v>$156,560</c:v>
                  </c:pt>
                  <c:pt idx="30">
                    <c:v>$0</c:v>
                  </c:pt>
                  <c:pt idx="31">
                    <c:v>$13,141</c:v>
                  </c:pt>
                  <c:pt idx="32">
                    <c:v>$14,638</c:v>
                  </c:pt>
                  <c:pt idx="33">
                    <c:v>Annual High Estimated Costs to Town</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 $-   </c:v>
                  </c:pt>
                  <c:pt idx="1">
                    <c:v> $-   </c:v>
                  </c:pt>
                  <c:pt idx="2">
                    <c:v> $-   </c:v>
                  </c:pt>
                  <c:pt idx="3">
                    <c:v> $-   </c:v>
                  </c:pt>
                  <c:pt idx="4">
                    <c:v> $-   </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YR5</c:v>
                  </c:pt>
                  <c:pt idx="30">
                    <c:v>$41,956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YR4</c:v>
                  </c:pt>
                  <c:pt idx="30">
                    <c:v>$101,156</c:v>
                  </c:pt>
                  <c:pt idx="31">
                    <c:v> $373,760 </c:v>
                  </c:pt>
                  <c:pt idx="32">
                    <c:v> $250,000.00 </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YR3</c:v>
                  </c:pt>
                  <c:pt idx="30">
                    <c:v>$47,335</c:v>
                  </c:pt>
                  <c:pt idx="31">
                    <c:v>5 Yr Program Cost Estimate (Low)</c:v>
                  </c:pt>
                  <c:pt idx="32">
                    <c:v>Potential Truck Purchase / Replacement Cost</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YR2</c:v>
                  </c:pt>
                  <c:pt idx="30">
                    <c:v>$115,066</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pt idx="29">
                    <c:v>YR1</c:v>
                  </c:pt>
                  <c:pt idx="30">
                    <c:v>$68,247</c:v>
                  </c:pt>
                </c:lvl>
                <c:lvl>
                  <c:pt idx="0">
                    <c:v> $5,000 </c:v>
                  </c:pt>
                  <c:pt idx="1">
                    <c:v> $12,800 </c:v>
                  </c:pt>
                  <c:pt idx="2">
                    <c:v> $11,200 </c:v>
                  </c:pt>
                  <c:pt idx="3">
                    <c:v> $9,000 </c:v>
                  </c:pt>
                  <c:pt idx="4">
                    <c:v> $46,920 </c:v>
                  </c:pt>
                  <c:pt idx="5">
                    <c:v> $1,600 </c:v>
                  </c:pt>
                  <c:pt idx="6">
                    <c:v> $13,480 </c:v>
                  </c:pt>
                  <c:pt idx="7">
                    <c:v> $2,400 </c:v>
                  </c:pt>
                  <c:pt idx="8">
                    <c:v> $13,737 </c:v>
                  </c:pt>
                  <c:pt idx="9">
                    <c:v> $325 </c:v>
                  </c:pt>
                  <c:pt idx="10">
                    <c:v> $4,878 </c:v>
                  </c:pt>
                  <c:pt idx="11">
                    <c:v> $10,500 </c:v>
                  </c:pt>
                  <c:pt idx="12">
                    <c:v> $4,200 </c:v>
                  </c:pt>
                  <c:pt idx="13">
                    <c:v> $4,200 </c:v>
                  </c:pt>
                  <c:pt idx="14">
                    <c:v> $-   </c:v>
                  </c:pt>
                  <c:pt idx="15">
                    <c:v> $65,200 </c:v>
                  </c:pt>
                  <c:pt idx="16">
                    <c:v> $6,000 </c:v>
                  </c:pt>
                  <c:pt idx="17">
                    <c:v> $7,200 </c:v>
                  </c:pt>
                  <c:pt idx="18">
                    <c:v> $52,000 </c:v>
                  </c:pt>
                  <c:pt idx="19">
                    <c:v> $138,100 </c:v>
                  </c:pt>
                  <c:pt idx="20">
                    <c:v> $34,400 </c:v>
                  </c:pt>
                  <c:pt idx="21">
                    <c:v> $5,700 </c:v>
                  </c:pt>
                  <c:pt idx="22">
                    <c:v> $15,000 </c:v>
                  </c:pt>
                  <c:pt idx="23">
                    <c:v> $27,000 </c:v>
                  </c:pt>
                  <c:pt idx="24">
                    <c:v> $25,000 </c:v>
                  </c:pt>
                  <c:pt idx="25">
                    <c:v> $25,000 </c:v>
                  </c:pt>
                  <c:pt idx="26">
                    <c:v> $6,000 </c:v>
                  </c:pt>
                  <c:pt idx="27">
                    <c:v> $25,300 </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YR5</c:v>
                  </c:pt>
                  <c:pt idx="29">
                    <c:v>$30,478</c:v>
                  </c:pt>
                  <c:pt idx="30">
                    <c:v>$0</c:v>
                  </c:pt>
                  <c:pt idx="31">
                    <c:v>$4,150</c:v>
                  </c:pt>
                  <c:pt idx="32">
                    <c:v>$7,328</c:v>
                  </c:pt>
                </c:lvl>
                <c:lvl>
                  <c:pt idx="0">
                    <c:v>$0</c:v>
                  </c:pt>
                  <c:pt idx="1">
                    <c:v>$0</c:v>
                  </c:pt>
                  <c:pt idx="2">
                    <c:v>$2,240</c:v>
                  </c:pt>
                  <c:pt idx="3">
                    <c:v>$1,800</c:v>
                  </c:pt>
                  <c:pt idx="5">
                    <c:v>$0</c:v>
                  </c:pt>
                  <c:pt idx="6">
                    <c:v>$0</c:v>
                  </c:pt>
                  <c:pt idx="7">
                    <c:v>$0</c:v>
                  </c:pt>
                  <c:pt idx="8">
                    <c:v>$0</c:v>
                  </c:pt>
                  <c:pt idx="9">
                    <c:v>$108</c:v>
                  </c:pt>
                  <c:pt idx="10">
                    <c:v>$1,219</c:v>
                  </c:pt>
                  <c:pt idx="11">
                    <c:v>$2,100</c:v>
                  </c:pt>
                  <c:pt idx="13">
                    <c:v>$0</c:v>
                  </c:pt>
                  <c:pt idx="14">
                    <c:v>$0</c:v>
                  </c:pt>
                  <c:pt idx="16">
                    <c:v>$0</c:v>
                  </c:pt>
                  <c:pt idx="17">
                    <c:v>$7,200</c:v>
                  </c:pt>
                  <c:pt idx="18">
                    <c:v>$52,000</c:v>
                  </c:pt>
                  <c:pt idx="20">
                    <c:v>$0</c:v>
                  </c:pt>
                  <c:pt idx="21">
                    <c:v>$0</c:v>
                  </c:pt>
                  <c:pt idx="22">
                    <c:v>$0</c:v>
                  </c:pt>
                  <c:pt idx="23">
                    <c:v>$6,750</c:v>
                  </c:pt>
                  <c:pt idx="24">
                    <c:v>$5,000</c:v>
                  </c:pt>
                  <c:pt idx="25">
                    <c:v>$5,000</c:v>
                  </c:pt>
                  <c:pt idx="26">
                    <c:v>$1,200</c:v>
                  </c:pt>
                  <c:pt idx="27">
                    <c:v>$5,060</c:v>
                  </c:pt>
                  <c:pt idx="28">
                    <c:v>YR4</c:v>
                  </c:pt>
                  <c:pt idx="29">
                    <c:v>$89,678</c:v>
                  </c:pt>
                  <c:pt idx="30">
                    <c:v>$0</c:v>
                  </c:pt>
                  <c:pt idx="31">
                    <c:v>$4,150</c:v>
                  </c:pt>
                  <c:pt idx="32">
                    <c:v>$7,328</c:v>
                  </c:pt>
                </c:lvl>
                <c:lvl>
                  <c:pt idx="0">
                    <c:v>$0</c:v>
                  </c:pt>
                  <c:pt idx="1">
                    <c:v>$0</c:v>
                  </c:pt>
                  <c:pt idx="2">
                    <c:v>$2,240</c:v>
                  </c:pt>
                  <c:pt idx="3">
                    <c:v>$1,800</c:v>
                  </c:pt>
                  <c:pt idx="5">
                    <c:v>$0</c:v>
                  </c:pt>
                  <c:pt idx="6">
                    <c:v>$0</c:v>
                  </c:pt>
                  <c:pt idx="7">
                    <c:v>$800</c:v>
                  </c:pt>
                  <c:pt idx="8">
                    <c:v>$4,579</c:v>
                  </c:pt>
                  <c:pt idx="9">
                    <c:v>$108</c:v>
                  </c:pt>
                  <c:pt idx="10">
                    <c:v>$1,219</c:v>
                  </c:pt>
                  <c:pt idx="11">
                    <c:v>$2,100</c:v>
                  </c:pt>
                  <c:pt idx="13">
                    <c:v>$0</c:v>
                  </c:pt>
                  <c:pt idx="14">
                    <c:v>$0</c:v>
                  </c:pt>
                  <c:pt idx="16">
                    <c:v>$0</c:v>
                  </c:pt>
                  <c:pt idx="17">
                    <c:v>$0</c:v>
                  </c:pt>
                  <c:pt idx="18">
                    <c:v>$0</c:v>
                  </c:pt>
                  <c:pt idx="20">
                    <c:v>$0</c:v>
                  </c:pt>
                  <c:pt idx="21">
                    <c:v>$0</c:v>
                  </c:pt>
                  <c:pt idx="22">
                    <c:v>$0</c:v>
                  </c:pt>
                  <c:pt idx="23">
                    <c:v>$6,750</c:v>
                  </c:pt>
                  <c:pt idx="24">
                    <c:v>$5,000</c:v>
                  </c:pt>
                  <c:pt idx="25">
                    <c:v>$5,000</c:v>
                  </c:pt>
                  <c:pt idx="26">
                    <c:v>$1,200</c:v>
                  </c:pt>
                  <c:pt idx="27">
                    <c:v>$5,060</c:v>
                  </c:pt>
                  <c:pt idx="28">
                    <c:v>YR3</c:v>
                  </c:pt>
                  <c:pt idx="29">
                    <c:v>$35,857</c:v>
                  </c:pt>
                  <c:pt idx="30">
                    <c:v>$0</c:v>
                  </c:pt>
                  <c:pt idx="31">
                    <c:v>$4,150</c:v>
                  </c:pt>
                  <c:pt idx="32">
                    <c:v>$7,328</c:v>
                  </c:pt>
                </c:lvl>
                <c:lvl>
                  <c:pt idx="0">
                    <c:v>$0</c:v>
                  </c:pt>
                  <c:pt idx="1">
                    <c:v>$0</c:v>
                  </c:pt>
                  <c:pt idx="2">
                    <c:v>$2,240</c:v>
                  </c:pt>
                  <c:pt idx="3">
                    <c:v>$1,800</c:v>
                  </c:pt>
                  <c:pt idx="5">
                    <c:v>$0</c:v>
                  </c:pt>
                  <c:pt idx="6">
                    <c:v>$6,740</c:v>
                  </c:pt>
                  <c:pt idx="7">
                    <c:v>$800</c:v>
                  </c:pt>
                  <c:pt idx="8">
                    <c:v>$4,579</c:v>
                  </c:pt>
                  <c:pt idx="9">
                    <c:v>$0</c:v>
                  </c:pt>
                  <c:pt idx="10">
                    <c:v>$1,219</c:v>
                  </c:pt>
                  <c:pt idx="11">
                    <c:v>$2,100</c:v>
                  </c:pt>
                  <c:pt idx="13">
                    <c:v>$0</c:v>
                  </c:pt>
                  <c:pt idx="14">
                    <c:v>$0</c:v>
                  </c:pt>
                  <c:pt idx="16">
                    <c:v>$6,000</c:v>
                  </c:pt>
                  <c:pt idx="17">
                    <c:v>$0</c:v>
                  </c:pt>
                  <c:pt idx="18">
                    <c:v>$0</c:v>
                  </c:pt>
                  <c:pt idx="20">
                    <c:v>$34,400</c:v>
                  </c:pt>
                  <c:pt idx="21">
                    <c:v>$5,700</c:v>
                  </c:pt>
                  <c:pt idx="22">
                    <c:v>$15,000</c:v>
                  </c:pt>
                  <c:pt idx="23">
                    <c:v>$6,750</c:v>
                  </c:pt>
                  <c:pt idx="24">
                    <c:v>$5,000</c:v>
                  </c:pt>
                  <c:pt idx="25">
                    <c:v>$5,000</c:v>
                  </c:pt>
                  <c:pt idx="26">
                    <c:v>$1,200</c:v>
                  </c:pt>
                  <c:pt idx="27">
                    <c:v>$5,060</c:v>
                  </c:pt>
                  <c:pt idx="28">
                    <c:v>YR2</c:v>
                  </c:pt>
                  <c:pt idx="29">
                    <c:v>$103,588</c:v>
                  </c:pt>
                  <c:pt idx="30">
                    <c:v>$0</c:v>
                  </c:pt>
                  <c:pt idx="31">
                    <c:v>$4,150</c:v>
                  </c:pt>
                  <c:pt idx="32">
                    <c:v>$7,328</c:v>
                  </c:pt>
                </c:lvl>
                <c:lvl>
                  <c:pt idx="0">
                    <c:v>$5,000</c:v>
                  </c:pt>
                  <c:pt idx="1">
                    <c:v>$12,800</c:v>
                  </c:pt>
                  <c:pt idx="2">
                    <c:v>$2,240</c:v>
                  </c:pt>
                  <c:pt idx="3">
                    <c:v>$1,800</c:v>
                  </c:pt>
                  <c:pt idx="5">
                    <c:v>$1,600</c:v>
                  </c:pt>
                  <c:pt idx="6">
                    <c:v>$6,740</c:v>
                  </c:pt>
                  <c:pt idx="7">
                    <c:v>$800</c:v>
                  </c:pt>
                  <c:pt idx="8">
                    <c:v>$4,579</c:v>
                  </c:pt>
                  <c:pt idx="9">
                    <c:v>$0</c:v>
                  </c:pt>
                  <c:pt idx="10">
                    <c:v>$0</c:v>
                  </c:pt>
                  <c:pt idx="11">
                    <c:v>$2,100</c:v>
                  </c:pt>
                  <c:pt idx="13">
                    <c:v>$4,200</c:v>
                  </c:pt>
                  <c:pt idx="14">
                    <c:v>$0</c:v>
                  </c:pt>
                  <c:pt idx="16">
                    <c:v>$0</c:v>
                  </c:pt>
                  <c:pt idx="17">
                    <c:v>$0</c:v>
                  </c:pt>
                  <c:pt idx="18">
                    <c:v>$0</c:v>
                  </c:pt>
                  <c:pt idx="20">
                    <c:v>$0</c:v>
                  </c:pt>
                  <c:pt idx="21">
                    <c:v>$0</c:v>
                  </c:pt>
                  <c:pt idx="22">
                    <c:v>$0</c:v>
                  </c:pt>
                  <c:pt idx="23">
                    <c:v>$0</c:v>
                  </c:pt>
                  <c:pt idx="24">
                    <c:v>$5,000</c:v>
                  </c:pt>
                  <c:pt idx="25">
                    <c:v>$5,000</c:v>
                  </c:pt>
                  <c:pt idx="26">
                    <c:v>$1,200</c:v>
                  </c:pt>
                  <c:pt idx="27">
                    <c:v>$5,060</c:v>
                  </c:pt>
                  <c:pt idx="28">
                    <c:v>YR1</c:v>
                  </c:pt>
                  <c:pt idx="29">
                    <c:v>$58,119</c:v>
                  </c:pt>
                  <c:pt idx="30">
                    <c:v>$0</c:v>
                  </c:pt>
                  <c:pt idx="31">
                    <c:v>$2,800</c:v>
                  </c:pt>
                  <c:pt idx="32">
                    <c:v>$7,328</c:v>
                  </c:pt>
                  <c:pt idx="33">
                    <c:v>Annual Low Estimated Costs to Town</c:v>
                  </c:pt>
                </c:lvl>
                <c:lvl>
                  <c:pt idx="29">
                    <c:v>Town MS4 Permit Tasks</c:v>
                  </c:pt>
                  <c:pt idx="30">
                    <c:v>Consultant MS4 Permit Tasks</c:v>
                  </c:pt>
                  <c:pt idx="31">
                    <c:v>Intermittent (Town &amp; Consultant)</c:v>
                  </c:pt>
                  <c:pt idx="32">
                    <c:v>Impaired Waters (Town &amp; Consultant)</c:v>
                  </c:pt>
                </c:lvl>
                <c:lvl>
                  <c:pt idx="0">
                    <c:v>100%</c:v>
                  </c:pt>
                  <c:pt idx="1">
                    <c:v>100%</c:v>
                  </c:pt>
                  <c:pt idx="2">
                    <c:v>100%</c:v>
                  </c:pt>
                  <c:pt idx="3">
                    <c:v>100%</c:v>
                  </c:pt>
                  <c:pt idx="5">
                    <c:v>100%</c:v>
                  </c:pt>
                  <c:pt idx="6">
                    <c:v>100%</c:v>
                  </c:pt>
                  <c:pt idx="7">
                    <c:v>100%</c:v>
                  </c:pt>
                  <c:pt idx="8">
                    <c:v>100%</c:v>
                  </c:pt>
                  <c:pt idx="9">
                    <c:v>100%</c:v>
                  </c:pt>
                  <c:pt idx="10">
                    <c:v>100%</c:v>
                  </c:pt>
                  <c:pt idx="11">
                    <c:v>100%</c:v>
                  </c:pt>
                  <c:pt idx="13">
                    <c:v>100%</c:v>
                  </c:pt>
                  <c:pt idx="14">
                    <c:v>100%</c:v>
                  </c:pt>
                  <c:pt idx="16">
                    <c:v>100%</c:v>
                  </c:pt>
                  <c:pt idx="17">
                    <c:v>100%</c:v>
                  </c:pt>
                  <c:pt idx="18">
                    <c:v>100%</c:v>
                  </c:pt>
                  <c:pt idx="20">
                    <c:v>100%</c:v>
                  </c:pt>
                  <c:pt idx="21">
                    <c:v>100%</c:v>
                  </c:pt>
                  <c:pt idx="22">
                    <c:v>100%</c:v>
                  </c:pt>
                  <c:pt idx="23">
                    <c:v>100%</c:v>
                  </c:pt>
                  <c:pt idx="24">
                    <c:v>100%</c:v>
                  </c:pt>
                  <c:pt idx="25">
                    <c:v>100%</c:v>
                  </c:pt>
                  <c:pt idx="26">
                    <c:v>100%</c:v>
                  </c:pt>
                  <c:pt idx="27">
                    <c:v>100%</c:v>
                  </c:pt>
                </c:lvl>
                <c:lvl>
                  <c:pt idx="0">
                    <c:v>112</c:v>
                  </c:pt>
                  <c:pt idx="1">
                    <c:v>204</c:v>
                  </c:pt>
                  <c:pt idx="2">
                    <c:v>730</c:v>
                  </c:pt>
                  <c:pt idx="3">
                    <c:v>150</c:v>
                  </c:pt>
                  <c:pt idx="4">
                    <c:v>1193</c:v>
                  </c:pt>
                  <c:pt idx="5">
                    <c:v>48</c:v>
                  </c:pt>
                  <c:pt idx="6">
                    <c:v>656.56</c:v>
                  </c:pt>
                  <c:pt idx="7">
                    <c:v>160</c:v>
                  </c:pt>
                  <c:pt idx="8">
                    <c:v>212</c:v>
                  </c:pt>
                  <c:pt idx="9">
                    <c:v>7</c:v>
                  </c:pt>
                  <c:pt idx="10">
                    <c:v>10</c:v>
                  </c:pt>
                  <c:pt idx="11">
                    <c:v>100</c:v>
                  </c:pt>
                  <c:pt idx="12">
                    <c:v>96</c:v>
                  </c:pt>
                  <c:pt idx="13">
                    <c:v>40</c:v>
                  </c:pt>
                  <c:pt idx="14">
                    <c:v>56</c:v>
                  </c:pt>
                  <c:pt idx="15">
                    <c:v>764</c:v>
                  </c:pt>
                  <c:pt idx="16">
                    <c:v>80</c:v>
                  </c:pt>
                  <c:pt idx="17">
                    <c:v>116</c:v>
                  </c:pt>
                  <c:pt idx="18">
                    <c:v>568</c:v>
                  </c:pt>
                  <c:pt idx="19">
                    <c:v>782</c:v>
                  </c:pt>
                  <c:pt idx="20">
                    <c:v>388</c:v>
                  </c:pt>
                  <c:pt idx="21">
                    <c:v>84</c:v>
                  </c:pt>
                  <c:pt idx="22">
                    <c:v>0</c:v>
                  </c:pt>
                  <c:pt idx="23">
                    <c:v>240</c:v>
                  </c:pt>
                  <c:pt idx="24">
                    <c:v>0</c:v>
                  </c:pt>
                  <c:pt idx="25">
                    <c:v>0</c:v>
                  </c:pt>
                  <c:pt idx="26">
                    <c:v>70</c:v>
                  </c:pt>
                  <c:pt idx="27">
                    <c:v>516</c:v>
                  </c:pt>
                </c:lvl>
                <c:lvl>
                  <c:pt idx="0">
                    <c:v>50</c:v>
                  </c:pt>
                  <c:pt idx="1">
                    <c:v>128</c:v>
                  </c:pt>
                  <c:pt idx="2">
                    <c:v>112</c:v>
                  </c:pt>
                  <c:pt idx="3">
                    <c:v>80</c:v>
                  </c:pt>
                  <c:pt idx="4">
                    <c:v>444</c:v>
                  </c:pt>
                  <c:pt idx="5">
                    <c:v>16</c:v>
                  </c:pt>
                  <c:pt idx="6">
                    <c:v>134.8</c:v>
                  </c:pt>
                  <c:pt idx="7">
                    <c:v>24</c:v>
                  </c:pt>
                  <c:pt idx="8">
                    <c:v>132</c:v>
                  </c:pt>
                  <c:pt idx="9">
                    <c:v>2</c:v>
                  </c:pt>
                  <c:pt idx="10">
                    <c:v>35</c:v>
                  </c:pt>
                  <c:pt idx="11">
                    <c:v>100</c:v>
                  </c:pt>
                  <c:pt idx="12">
                    <c:v>32</c:v>
                  </c:pt>
                  <c:pt idx="13">
                    <c:v>32</c:v>
                  </c:pt>
                  <c:pt idx="14">
                    <c:v>0</c:v>
                  </c:pt>
                  <c:pt idx="15">
                    <c:v>622</c:v>
                  </c:pt>
                  <c:pt idx="16">
                    <c:v>40</c:v>
                  </c:pt>
                  <c:pt idx="17">
                    <c:v>62</c:v>
                  </c:pt>
                  <c:pt idx="18">
                    <c:v>520</c:v>
                  </c:pt>
                  <c:pt idx="19">
                    <c:v>581</c:v>
                  </c:pt>
                  <c:pt idx="20">
                    <c:v>344</c:v>
                  </c:pt>
                  <c:pt idx="21">
                    <c:v>57</c:v>
                  </c:pt>
                  <c:pt idx="22">
                    <c:v>0</c:v>
                  </c:pt>
                  <c:pt idx="23">
                    <c:v>120</c:v>
                  </c:pt>
                  <c:pt idx="24">
                    <c:v>0</c:v>
                  </c:pt>
                  <c:pt idx="25">
                    <c:v>0</c:v>
                  </c:pt>
                  <c:pt idx="26">
                    <c:v>60</c:v>
                  </c:pt>
                  <c:pt idx="27">
                    <c:v>253</c:v>
                  </c:pt>
                </c:lvl>
                <c:lvl>
                  <c:pt idx="0">
                    <c:v>0%</c:v>
                  </c:pt>
                  <c:pt idx="1">
                    <c:v>0%</c:v>
                  </c:pt>
                  <c:pt idx="2">
                    <c:v>0%</c:v>
                  </c:pt>
                  <c:pt idx="3">
                    <c:v>0%</c:v>
                  </c:pt>
                  <c:pt idx="5">
                    <c:v>0%</c:v>
                  </c:pt>
                  <c:pt idx="6">
                    <c:v>0%</c:v>
                  </c:pt>
                  <c:pt idx="7">
                    <c:v>0%</c:v>
                  </c:pt>
                  <c:pt idx="8">
                    <c:v>0%</c:v>
                  </c:pt>
                  <c:pt idx="9">
                    <c:v>0%</c:v>
                  </c:pt>
                  <c:pt idx="10">
                    <c:v>0%</c:v>
                  </c:pt>
                  <c:pt idx="11">
                    <c:v>0%</c:v>
                  </c:pt>
                  <c:pt idx="13">
                    <c:v>0%</c:v>
                  </c:pt>
                  <c:pt idx="14">
                    <c:v>0%</c:v>
                  </c:pt>
                  <c:pt idx="16">
                    <c:v>0%</c:v>
                  </c:pt>
                  <c:pt idx="17">
                    <c:v>0%</c:v>
                  </c:pt>
                  <c:pt idx="18">
                    <c:v>0%</c:v>
                  </c:pt>
                  <c:pt idx="20">
                    <c:v>0%</c:v>
                  </c:pt>
                  <c:pt idx="21">
                    <c:v>0%</c:v>
                  </c:pt>
                  <c:pt idx="22">
                    <c:v>0%</c:v>
                  </c:pt>
                  <c:pt idx="23">
                    <c:v>0%</c:v>
                  </c:pt>
                  <c:pt idx="24">
                    <c:v>0%</c:v>
                  </c:pt>
                  <c:pt idx="25">
                    <c:v>0%</c:v>
                  </c:pt>
                  <c:pt idx="26">
                    <c:v>0%</c:v>
                  </c:pt>
                  <c:pt idx="27">
                    <c:v>0%</c:v>
                  </c:pt>
                </c:lvl>
                <c:lvl>
                  <c:pt idx="0">
                    <c:v>1</c:v>
                  </c:pt>
                  <c:pt idx="1">
                    <c:v>1</c:v>
                  </c:pt>
                  <c:pt idx="2">
                    <c:v>5</c:v>
                  </c:pt>
                  <c:pt idx="3">
                    <c:v>5</c:v>
                  </c:pt>
                  <c:pt idx="5">
                    <c:v>1</c:v>
                  </c:pt>
                  <c:pt idx="6">
                    <c:v>2</c:v>
                  </c:pt>
                  <c:pt idx="7">
                    <c:v>3</c:v>
                  </c:pt>
                  <c:pt idx="8">
                    <c:v>3</c:v>
                  </c:pt>
                  <c:pt idx="9">
                    <c:v>3</c:v>
                  </c:pt>
                  <c:pt idx="10">
                    <c:v>4</c:v>
                  </c:pt>
                  <c:pt idx="11">
                    <c:v>5</c:v>
                  </c:pt>
                  <c:pt idx="13">
                    <c:v>1</c:v>
                  </c:pt>
                  <c:pt idx="14">
                    <c:v>1</c:v>
                  </c:pt>
                  <c:pt idx="16">
                    <c:v>1</c:v>
                  </c:pt>
                  <c:pt idx="17">
                    <c:v>1</c:v>
                  </c:pt>
                  <c:pt idx="18">
                    <c:v>1</c:v>
                  </c:pt>
                  <c:pt idx="20">
                    <c:v>1</c:v>
                  </c:pt>
                  <c:pt idx="21">
                    <c:v>1</c:v>
                  </c:pt>
                  <c:pt idx="22">
                    <c:v>1</c:v>
                  </c:pt>
                  <c:pt idx="23">
                    <c:v>4</c:v>
                  </c:pt>
                  <c:pt idx="24">
                    <c:v>5</c:v>
                  </c:pt>
                  <c:pt idx="25">
                    <c:v>5</c:v>
                  </c:pt>
                  <c:pt idx="26">
                    <c:v>5</c:v>
                  </c:pt>
                  <c:pt idx="27">
                    <c:v>5</c:v>
                  </c:pt>
                </c:lvl>
                <c:lvl>
                  <c:pt idx="2">
                    <c:v>x</c:v>
                  </c:pt>
                  <c:pt idx="3">
                    <c:v>x</c:v>
                  </c:pt>
                  <c:pt idx="9">
                    <c:v>x</c:v>
                  </c:pt>
                  <c:pt idx="10">
                    <c:v>x</c:v>
                  </c:pt>
                  <c:pt idx="11">
                    <c:v>x</c:v>
                  </c:pt>
                  <c:pt idx="23">
                    <c:v>x</c:v>
                  </c:pt>
                  <c:pt idx="24">
                    <c:v>x</c:v>
                  </c:pt>
                  <c:pt idx="25">
                    <c:v>x</c:v>
                  </c:pt>
                  <c:pt idx="26">
                    <c:v>x</c:v>
                  </c:pt>
                  <c:pt idx="27">
                    <c:v>x</c:v>
                  </c:pt>
                </c:lvl>
                <c:lvl>
                  <c:pt idx="2">
                    <c:v>x</c:v>
                  </c:pt>
                  <c:pt idx="3">
                    <c:v>x</c:v>
                  </c:pt>
                  <c:pt idx="9">
                    <c:v>x</c:v>
                  </c:pt>
                  <c:pt idx="10">
                    <c:v>x</c:v>
                  </c:pt>
                  <c:pt idx="11">
                    <c:v>x</c:v>
                  </c:pt>
                  <c:pt idx="17">
                    <c:v>x</c:v>
                  </c:pt>
                  <c:pt idx="18">
                    <c:v>x</c:v>
                  </c:pt>
                  <c:pt idx="23">
                    <c:v>x</c:v>
                  </c:pt>
                  <c:pt idx="24">
                    <c:v>x</c:v>
                  </c:pt>
                  <c:pt idx="25">
                    <c:v>x</c:v>
                  </c:pt>
                  <c:pt idx="26">
                    <c:v>x</c:v>
                  </c:pt>
                  <c:pt idx="27">
                    <c:v>x</c:v>
                  </c:pt>
                </c:lvl>
                <c:lvl>
                  <c:pt idx="2">
                    <c:v>x</c:v>
                  </c:pt>
                  <c:pt idx="3">
                    <c:v>x</c:v>
                  </c:pt>
                  <c:pt idx="7">
                    <c:v>x</c:v>
                  </c:pt>
                  <c:pt idx="8">
                    <c:v>x</c:v>
                  </c:pt>
                  <c:pt idx="9">
                    <c:v>x</c:v>
                  </c:pt>
                  <c:pt idx="10">
                    <c:v>x</c:v>
                  </c:pt>
                  <c:pt idx="11">
                    <c:v>x</c:v>
                  </c:pt>
                  <c:pt idx="23">
                    <c:v>x</c:v>
                  </c:pt>
                  <c:pt idx="24">
                    <c:v>x</c:v>
                  </c:pt>
                  <c:pt idx="25">
                    <c:v>x</c:v>
                  </c:pt>
                  <c:pt idx="26">
                    <c:v>x</c:v>
                  </c:pt>
                  <c:pt idx="27">
                    <c:v>x</c:v>
                  </c:pt>
                </c:lvl>
                <c:lvl>
                  <c:pt idx="2">
                    <c:v>x</c:v>
                  </c:pt>
                  <c:pt idx="3">
                    <c:v>x</c:v>
                  </c:pt>
                  <c:pt idx="6">
                    <c:v>x</c:v>
                  </c:pt>
                  <c:pt idx="7">
                    <c:v>x</c:v>
                  </c:pt>
                  <c:pt idx="8">
                    <c:v>x</c:v>
                  </c:pt>
                  <c:pt idx="10">
                    <c:v>x</c:v>
                  </c:pt>
                  <c:pt idx="11">
                    <c:v>x</c:v>
                  </c:pt>
                  <c:pt idx="16">
                    <c:v>x</c:v>
                  </c:pt>
                  <c:pt idx="20">
                    <c:v>x</c:v>
                  </c:pt>
                  <c:pt idx="21">
                    <c:v>x</c:v>
                  </c:pt>
                  <c:pt idx="22">
                    <c:v>x</c:v>
                  </c:pt>
                  <c:pt idx="23">
                    <c:v>x</c:v>
                  </c:pt>
                  <c:pt idx="24">
                    <c:v>x</c:v>
                  </c:pt>
                  <c:pt idx="25">
                    <c:v>x</c:v>
                  </c:pt>
                  <c:pt idx="26">
                    <c:v>x</c:v>
                  </c:pt>
                  <c:pt idx="27">
                    <c:v>x</c:v>
                  </c:pt>
                </c:lvl>
                <c:lvl>
                  <c:pt idx="0">
                    <c:v>x</c:v>
                  </c:pt>
                  <c:pt idx="1">
                    <c:v>x</c:v>
                  </c:pt>
                  <c:pt idx="2">
                    <c:v>x</c:v>
                  </c:pt>
                  <c:pt idx="3">
                    <c:v>x</c:v>
                  </c:pt>
                  <c:pt idx="5">
                    <c:v>x</c:v>
                  </c:pt>
                  <c:pt idx="6">
                    <c:v>x</c:v>
                  </c:pt>
                  <c:pt idx="7">
                    <c:v>x</c:v>
                  </c:pt>
                  <c:pt idx="8">
                    <c:v>x</c:v>
                  </c:pt>
                  <c:pt idx="11">
                    <c:v>x</c:v>
                  </c:pt>
                  <c:pt idx="13">
                    <c:v>x</c:v>
                  </c:pt>
                  <c:pt idx="14">
                    <c:v>x</c:v>
                  </c:pt>
                  <c:pt idx="24">
                    <c:v>x</c:v>
                  </c:pt>
                  <c:pt idx="25">
                    <c:v>x</c:v>
                  </c:pt>
                  <c:pt idx="26">
                    <c:v>x</c:v>
                  </c:pt>
                  <c:pt idx="27">
                    <c:v>x</c:v>
                  </c:pt>
                </c:lvl>
                <c:lvl>
                  <c:pt idx="0">
                    <c:v>Notice of Intent (NOI)</c:v>
                  </c:pt>
                  <c:pt idx="1">
                    <c:v>Stormwater Mgmt Plan (SWMP)</c:v>
                  </c:pt>
                  <c:pt idx="2">
                    <c:v>MCM 1 - Public Education</c:v>
                  </c:pt>
                  <c:pt idx="3">
                    <c:v>MCM 2 - Public Participation</c:v>
                  </c:pt>
                  <c:pt idx="4">
                    <c:v>MCM 3 - IDDE</c:v>
                  </c:pt>
                  <c:pt idx="5">
                    <c:v>     Written IDDE Plan / Procedures</c:v>
                  </c:pt>
                  <c:pt idx="6">
                    <c:v>     System Mapping / Catchment Delineation</c:v>
                  </c:pt>
                  <c:pt idx="7">
                    <c:v>     Catchment Assessment / Ranking</c:v>
                  </c:pt>
                  <c:pt idx="8">
                    <c:v>     Dry Weather Screening</c:v>
                  </c:pt>
                  <c:pt idx="9">
                    <c:v>     Wet Weather Screening</c:v>
                  </c:pt>
                  <c:pt idx="10">
                    <c:v>     Catchment Investigations</c:v>
                  </c:pt>
                  <c:pt idx="11">
                    <c:v>     Training</c:v>
                  </c:pt>
                  <c:pt idx="12">
                    <c:v>MCM 4 - Construction Site Control</c:v>
                  </c:pt>
                  <c:pt idx="13">
                    <c:v>     Update of construction bylaw/ordinance</c:v>
                  </c:pt>
                  <c:pt idx="14">
                    <c:v>    Construction review / site inspection procedures</c:v>
                  </c:pt>
                  <c:pt idx="15">
                    <c:v>MCM 5 - Post Construction Site Control</c:v>
                  </c:pt>
                  <c:pt idx="16">
                    <c:v>     Update post construction regulations</c:v>
                  </c:pt>
                  <c:pt idx="17">
                    <c:v>     Report on existing street / parking regulations</c:v>
                  </c:pt>
                  <c:pt idx="18">
                    <c:v>     Inventory municipal properties</c:v>
                  </c:pt>
                  <c:pt idx="19">
                    <c:v>MCM 6 - Good Housekeeping</c:v>
                  </c:pt>
                  <c:pt idx="20">
                    <c:v>     Develop Operation / Maintenance Procedures</c:v>
                  </c:pt>
                  <c:pt idx="21">
                    <c:v>     BMP Inspection / Maintenance</c:v>
                  </c:pt>
                  <c:pt idx="22">
                    <c:v>     SWPPP Written Plan Preparation</c:v>
                  </c:pt>
                  <c:pt idx="23">
                    <c:v>     SWPPP Implementation</c:v>
                  </c:pt>
                  <c:pt idx="24">
                    <c:v>     Catch Basin Cleaning</c:v>
                  </c:pt>
                  <c:pt idx="25">
                    <c:v>     Street Sweeping</c:v>
                  </c:pt>
                  <c:pt idx="26">
                    <c:v>     Training</c:v>
                  </c:pt>
                  <c:pt idx="27">
                    <c:v>Annual Report</c:v>
                  </c:pt>
                </c:lvl>
              </c:multiLvlStrCache>
            </c:multiLvlStrRef>
          </c:cat>
          <c:val>
            <c:numRef>
              <c:f>'Cover Sheet'!$AT$5:$AT$38</c:f>
              <c:numCache>
                <c:formatCode>0%</c:formatCode>
                <c:ptCount val="34"/>
                <c:pt idx="0">
                  <c:v>1.4503604086953711E-2</c:v>
                </c:pt>
                <c:pt idx="1">
                  <c:v>2.6417278872665689E-2</c:v>
                </c:pt>
                <c:pt idx="2">
                  <c:v>9.5568391215819989E-2</c:v>
                </c:pt>
                <c:pt idx="3">
                  <c:v>2.2014399060554739E-2</c:v>
                </c:pt>
                <c:pt idx="4">
                  <c:v>0.16203751703367042</c:v>
                </c:pt>
                <c:pt idx="5">
                  <c:v>6.215830322980162E-3</c:v>
                </c:pt>
                <c:pt idx="6">
                  <c:v>8.7024214451023513E-2</c:v>
                </c:pt>
                <c:pt idx="7">
                  <c:v>2.0719434409933873E-2</c:v>
                </c:pt>
                <c:pt idx="8">
                  <c:v>2.8148798898388703E-2</c:v>
                </c:pt>
                <c:pt idx="9">
                  <c:v>1.263161613766269E-3</c:v>
                </c:pt>
                <c:pt idx="10">
                  <c:v>2.4790192048170785E-3</c:v>
                </c:pt>
                <c:pt idx="11">
                  <c:v>1.6187058132760838E-2</c:v>
                </c:pt>
                <c:pt idx="12">
                  <c:v>2.7971236453410729E-2</c:v>
                </c:pt>
                <c:pt idx="13">
                  <c:v>7.7697879037252025E-3</c:v>
                </c:pt>
                <c:pt idx="14">
                  <c:v>2.0201448549685527E-2</c:v>
                </c:pt>
                <c:pt idx="15">
                  <c:v>0.10670508721115944</c:v>
                </c:pt>
                <c:pt idx="16">
                  <c:v>1.5539575807450405E-2</c:v>
                </c:pt>
                <c:pt idx="17">
                  <c:v>1.7611519248443792E-2</c:v>
                </c:pt>
                <c:pt idx="18">
                  <c:v>7.3553992155265244E-2</c:v>
                </c:pt>
                <c:pt idx="19">
                  <c:v>0.27932387513892104</c:v>
                </c:pt>
                <c:pt idx="20">
                  <c:v>5.024462844408964E-2</c:v>
                </c:pt>
                <c:pt idx="21">
                  <c:v>1.0877703065215284E-2</c:v>
                </c:pt>
                <c:pt idx="22">
                  <c:v>1.9424469759313005E-2</c:v>
                </c:pt>
                <c:pt idx="23">
                  <c:v>6.0215856253870319E-2</c:v>
                </c:pt>
                <c:pt idx="24">
                  <c:v>6.4748232531043351E-2</c:v>
                </c:pt>
                <c:pt idx="25">
                  <c:v>6.4748232531043351E-2</c:v>
                </c:pt>
                <c:pt idx="26">
                  <c:v>9.0647525543460696E-3</c:v>
                </c:pt>
                <c:pt idx="27">
                  <c:v>6.6820175972036738E-2</c:v>
                </c:pt>
              </c:numCache>
            </c:numRef>
          </c:val>
          <c:extLst>
            <c:ext xmlns:c16="http://schemas.microsoft.com/office/drawing/2014/chart" uri="{C3380CC4-5D6E-409C-BE32-E72D297353CC}">
              <c16:uniqueId val="{0000000D-A511-4159-B0DF-B9D25402263B}"/>
            </c:ext>
          </c:extLst>
        </c:ser>
        <c:dLbls>
          <c:showLegendKey val="0"/>
          <c:showVal val="0"/>
          <c:showCatName val="0"/>
          <c:showSerName val="0"/>
          <c:showPercent val="0"/>
          <c:showBubbleSize val="0"/>
        </c:dLbls>
        <c:gapWidth val="219"/>
        <c:overlap val="-27"/>
        <c:axId val="394858096"/>
        <c:axId val="394849568"/>
      </c:barChart>
      <c:catAx>
        <c:axId val="394858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849568"/>
        <c:crosses val="autoZero"/>
        <c:auto val="1"/>
        <c:lblAlgn val="ctr"/>
        <c:lblOffset val="100"/>
        <c:noMultiLvlLbl val="0"/>
      </c:catAx>
      <c:valAx>
        <c:axId val="39484956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858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1F0298E-7D04-45DB-81FF-351925F607BE}">
  <sheetPr/>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85244F-DEB3-4247-ADFC-1CC7362FBCC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hyperlink" Target="http://www.benmeadows.com/chemets-ammonia-water-test-kit_s_168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72"/>
  <sheetViews>
    <sheetView tabSelected="1" topLeftCell="U34" zoomScale="70" zoomScaleNormal="70" workbookViewId="0">
      <selection activeCell="AK48" sqref="AK48"/>
    </sheetView>
  </sheetViews>
  <sheetFormatPr defaultRowHeight="14.4" x14ac:dyDescent="0.3"/>
  <cols>
    <col min="1" max="1" width="64.88671875" bestFit="1" customWidth="1"/>
    <col min="2" max="3" width="15.6640625" customWidth="1"/>
    <col min="6" max="6" width="53.109375" customWidth="1"/>
    <col min="7" max="11" width="3.6640625" customWidth="1"/>
    <col min="12" max="12" width="9" bestFit="1" customWidth="1"/>
    <col min="13" max="13" width="14" customWidth="1"/>
    <col min="16" max="18" width="10.33203125" customWidth="1"/>
    <col min="19" max="23" width="9.5546875" customWidth="1"/>
    <col min="24" max="24" width="14.88671875" customWidth="1"/>
    <col min="25" max="26" width="12.5546875" bestFit="1" customWidth="1"/>
    <col min="27" max="27" width="15.109375" customWidth="1"/>
    <col min="28" max="29" width="12.5546875" bestFit="1" customWidth="1"/>
    <col min="30" max="30" width="14.44140625" customWidth="1"/>
    <col min="31" max="31" width="15" customWidth="1"/>
    <col min="32" max="32" width="10.6640625" customWidth="1"/>
    <col min="33" max="36" width="9.5546875" customWidth="1"/>
    <col min="37" max="37" width="14.88671875" bestFit="1" customWidth="1"/>
    <col min="38" max="38" width="14.5546875" customWidth="1"/>
    <col min="39" max="39" width="12" customWidth="1"/>
    <col min="40" max="40" width="9.5546875" customWidth="1"/>
    <col min="41" max="41" width="11.44140625" customWidth="1"/>
    <col min="42" max="42" width="9.5546875" customWidth="1"/>
    <col min="43" max="44" width="15" bestFit="1" customWidth="1"/>
    <col min="45" max="46" width="11.109375" customWidth="1"/>
  </cols>
  <sheetData>
    <row r="1" spans="1:46" ht="15" customHeight="1" thickBot="1" x14ac:dyDescent="0.35">
      <c r="A1" s="688" t="s">
        <v>771</v>
      </c>
      <c r="B1" s="655" t="s">
        <v>780</v>
      </c>
      <c r="C1" s="655"/>
    </row>
    <row r="2" spans="1:46" ht="15" customHeight="1" thickBot="1" x14ac:dyDescent="0.35">
      <c r="A2" s="688"/>
      <c r="B2" s="655"/>
      <c r="C2" s="655"/>
      <c r="F2" s="691" t="s">
        <v>656</v>
      </c>
      <c r="G2" s="656" t="s">
        <v>731</v>
      </c>
      <c r="H2" s="657"/>
      <c r="I2" s="657"/>
      <c r="J2" s="657"/>
      <c r="K2" s="658"/>
      <c r="L2" s="662" t="s">
        <v>742</v>
      </c>
      <c r="M2" s="658" t="s">
        <v>712</v>
      </c>
      <c r="N2" s="656" t="s">
        <v>657</v>
      </c>
      <c r="O2" s="658"/>
      <c r="P2" s="664" t="s">
        <v>658</v>
      </c>
      <c r="Q2" s="666"/>
      <c r="R2" s="665"/>
      <c r="S2" s="667" t="s">
        <v>743</v>
      </c>
      <c r="T2" s="668"/>
      <c r="U2" s="668"/>
      <c r="V2" s="668"/>
      <c r="W2" s="668"/>
      <c r="X2" s="668"/>
      <c r="Y2" s="668"/>
      <c r="Z2" s="668"/>
      <c r="AA2" s="668"/>
      <c r="AB2" s="668"/>
      <c r="AC2" s="668"/>
      <c r="AD2" s="668"/>
      <c r="AE2" s="669"/>
      <c r="AF2" s="670" t="s">
        <v>744</v>
      </c>
      <c r="AG2" s="671"/>
      <c r="AH2" s="671"/>
      <c r="AI2" s="671"/>
      <c r="AJ2" s="671"/>
      <c r="AK2" s="671"/>
      <c r="AL2" s="671"/>
      <c r="AM2" s="671"/>
      <c r="AN2" s="671"/>
      <c r="AO2" s="671"/>
      <c r="AP2" s="671"/>
      <c r="AQ2" s="671"/>
      <c r="AR2" s="672"/>
      <c r="AS2" s="664" t="s">
        <v>661</v>
      </c>
      <c r="AT2" s="665"/>
    </row>
    <row r="3" spans="1:46" ht="18" x14ac:dyDescent="0.3">
      <c r="A3" s="654" t="s">
        <v>772</v>
      </c>
      <c r="B3" s="466"/>
      <c r="C3" s="466"/>
      <c r="F3" s="691"/>
      <c r="G3" s="659"/>
      <c r="H3" s="660"/>
      <c r="I3" s="660"/>
      <c r="J3" s="660"/>
      <c r="K3" s="661"/>
      <c r="L3" s="663"/>
      <c r="M3" s="661"/>
      <c r="N3" s="659"/>
      <c r="O3" s="661"/>
      <c r="P3" s="527"/>
      <c r="Q3" s="529"/>
      <c r="R3" s="528"/>
      <c r="S3" s="667" t="s">
        <v>752</v>
      </c>
      <c r="T3" s="668"/>
      <c r="U3" s="668"/>
      <c r="V3" s="668"/>
      <c r="W3" s="669"/>
      <c r="X3" s="539"/>
      <c r="Y3" s="667" t="s">
        <v>755</v>
      </c>
      <c r="Z3" s="668"/>
      <c r="AA3" s="668"/>
      <c r="AB3" s="668"/>
      <c r="AC3" s="669"/>
      <c r="AD3" s="539"/>
      <c r="AE3" s="539"/>
      <c r="AF3" s="670" t="s">
        <v>753</v>
      </c>
      <c r="AG3" s="671"/>
      <c r="AH3" s="671"/>
      <c r="AI3" s="671"/>
      <c r="AJ3" s="677"/>
      <c r="AK3" s="542"/>
      <c r="AL3" s="670" t="s">
        <v>756</v>
      </c>
      <c r="AM3" s="671"/>
      <c r="AN3" s="671"/>
      <c r="AO3" s="671"/>
      <c r="AP3" s="672"/>
      <c r="AQ3" s="542"/>
      <c r="AR3" s="542"/>
      <c r="AS3" s="529"/>
      <c r="AT3" s="529"/>
    </row>
    <row r="4" spans="1:46" ht="15.6" x14ac:dyDescent="0.3">
      <c r="A4" s="488" t="s">
        <v>635</v>
      </c>
      <c r="B4" s="1"/>
      <c r="C4" s="1"/>
      <c r="F4" s="691"/>
      <c r="G4" s="516">
        <v>1</v>
      </c>
      <c r="H4" s="467">
        <v>2</v>
      </c>
      <c r="I4" s="467">
        <v>3</v>
      </c>
      <c r="J4" s="467">
        <v>4</v>
      </c>
      <c r="K4" s="517">
        <v>5</v>
      </c>
      <c r="L4" s="576"/>
      <c r="M4" s="328"/>
      <c r="N4" s="518" t="s">
        <v>340</v>
      </c>
      <c r="O4" s="519" t="s">
        <v>341</v>
      </c>
      <c r="P4" s="518" t="s">
        <v>659</v>
      </c>
      <c r="Q4" s="520" t="s">
        <v>702</v>
      </c>
      <c r="R4" s="519" t="s">
        <v>660</v>
      </c>
      <c r="S4" s="554" t="s">
        <v>745</v>
      </c>
      <c r="T4" s="555" t="s">
        <v>746</v>
      </c>
      <c r="U4" s="555" t="s">
        <v>747</v>
      </c>
      <c r="V4" s="555" t="s">
        <v>748</v>
      </c>
      <c r="W4" s="584" t="s">
        <v>749</v>
      </c>
      <c r="X4" s="540" t="s">
        <v>659</v>
      </c>
      <c r="Y4" s="554" t="s">
        <v>745</v>
      </c>
      <c r="Z4" s="555" t="s">
        <v>746</v>
      </c>
      <c r="AA4" s="555" t="s">
        <v>747</v>
      </c>
      <c r="AB4" s="555" t="s">
        <v>748</v>
      </c>
      <c r="AC4" s="584" t="s">
        <v>749</v>
      </c>
      <c r="AD4" s="541" t="s">
        <v>660</v>
      </c>
      <c r="AE4" s="540" t="s">
        <v>741</v>
      </c>
      <c r="AF4" s="556" t="s">
        <v>745</v>
      </c>
      <c r="AG4" s="557" t="s">
        <v>746</v>
      </c>
      <c r="AH4" s="557" t="s">
        <v>747</v>
      </c>
      <c r="AI4" s="557" t="s">
        <v>748</v>
      </c>
      <c r="AJ4" s="558" t="s">
        <v>749</v>
      </c>
      <c r="AK4" s="543" t="s">
        <v>659</v>
      </c>
      <c r="AL4" s="556" t="s">
        <v>745</v>
      </c>
      <c r="AM4" s="557" t="s">
        <v>746</v>
      </c>
      <c r="AN4" s="557" t="s">
        <v>747</v>
      </c>
      <c r="AO4" s="557" t="s">
        <v>748</v>
      </c>
      <c r="AP4" s="596" t="s">
        <v>749</v>
      </c>
      <c r="AQ4" s="544" t="s">
        <v>660</v>
      </c>
      <c r="AR4" s="553" t="s">
        <v>741</v>
      </c>
      <c r="AS4" s="329" t="s">
        <v>340</v>
      </c>
      <c r="AT4" s="519" t="s">
        <v>341</v>
      </c>
    </row>
    <row r="5" spans="1:46" ht="15.6" x14ac:dyDescent="0.3">
      <c r="A5" t="s">
        <v>273</v>
      </c>
      <c r="B5" s="676">
        <v>6125</v>
      </c>
      <c r="C5" s="676"/>
      <c r="F5" s="488" t="s">
        <v>662</v>
      </c>
      <c r="G5" s="511" t="s">
        <v>91</v>
      </c>
      <c r="H5" s="512"/>
      <c r="I5" s="512"/>
      <c r="J5" s="512"/>
      <c r="K5" s="513"/>
      <c r="L5" s="513">
        <f>COUNTIF(G5:K5, "x")</f>
        <v>1</v>
      </c>
      <c r="M5" s="573">
        <v>0</v>
      </c>
      <c r="N5" s="501">
        <f>(1-M5)*NOI!T31</f>
        <v>50</v>
      </c>
      <c r="O5" s="502">
        <f>(1-M5)*NOI!U31</f>
        <v>112</v>
      </c>
      <c r="P5" s="566">
        <f>1-(Q5+R5)</f>
        <v>1</v>
      </c>
      <c r="Q5" s="496"/>
      <c r="R5" s="498"/>
      <c r="S5" s="532">
        <f>IF(G5="x",$X5/$L$5,0)</f>
        <v>5000</v>
      </c>
      <c r="T5" s="533">
        <f>IF(H5="x",$X$5/$L5,0)</f>
        <v>0</v>
      </c>
      <c r="U5" s="533">
        <f>IF(I5="x",$X$5/$L5,0)</f>
        <v>0</v>
      </c>
      <c r="V5" s="533">
        <f>IF(J5="x",$X$5/$L5,0)</f>
        <v>0</v>
      </c>
      <c r="W5" s="585">
        <f>IF(K5="x",$X$5/$L5,0)</f>
        <v>0</v>
      </c>
      <c r="X5" s="489">
        <f>AE5*P5</f>
        <v>5000</v>
      </c>
      <c r="Y5" s="532">
        <f>IF(G5="x",$AD5/$L5,0)</f>
        <v>0</v>
      </c>
      <c r="Z5" s="533">
        <f>IF(H5="x",$AD5/$L5,0)</f>
        <v>0</v>
      </c>
      <c r="AA5" s="533">
        <f t="shared" ref="Y5:AA8" si="0">IF(I5="x",$AD5/$L5,0)</f>
        <v>0</v>
      </c>
      <c r="AB5" s="533">
        <f t="shared" ref="AB5:AB8" si="1">IF(J5="x",$AD5/$L5,0)</f>
        <v>0</v>
      </c>
      <c r="AC5" s="585">
        <f t="shared" ref="AC5:AC8" si="2">IF(K5="x",$AD5/$L5,0)</f>
        <v>0</v>
      </c>
      <c r="AD5" s="490">
        <f>AE5*R5</f>
        <v>0</v>
      </c>
      <c r="AE5" s="526">
        <f>(1-M5)*NOI!R31</f>
        <v>5000</v>
      </c>
      <c r="AF5" s="532">
        <f>IF(G5="x",$AK5/$L5,0)</f>
        <v>11200</v>
      </c>
      <c r="AG5" s="533">
        <f>IF(H5="x",$AK5/$L5,0)</f>
        <v>0</v>
      </c>
      <c r="AH5" s="533">
        <f>IF(I5="x",$AK5/$L5,0)</f>
        <v>0</v>
      </c>
      <c r="AI5" s="533">
        <f>IF(J5="x",$AK5/$L5,0)</f>
        <v>0</v>
      </c>
      <c r="AJ5" s="537">
        <f>IF(K5="x",$AK5/$L5,0)</f>
        <v>0</v>
      </c>
      <c r="AK5" s="489">
        <f>AR5*P5</f>
        <v>11200</v>
      </c>
      <c r="AL5" s="532">
        <f>IF($G5="x",$AQ5/$L5,0)</f>
        <v>0</v>
      </c>
      <c r="AM5" s="533">
        <f>IF(H5="x",$AQ5/$L5,0)</f>
        <v>0</v>
      </c>
      <c r="AN5" s="533">
        <f t="shared" ref="AN5:AP5" si="3">IF(I5="x",$AQ5/$L5,0)</f>
        <v>0</v>
      </c>
      <c r="AO5" s="533">
        <f>IF(J5="x",$AQ5/$L5,0)</f>
        <v>0</v>
      </c>
      <c r="AP5" s="585">
        <f t="shared" si="3"/>
        <v>0</v>
      </c>
      <c r="AQ5" s="490">
        <f>AR5*R5</f>
        <v>0</v>
      </c>
      <c r="AR5" s="491">
        <f>(1-M5)*NOI!S31</f>
        <v>11200</v>
      </c>
      <c r="AS5" s="514">
        <f t="shared" ref="AS5:AS32" si="4">AE5/$AB$36</f>
        <v>1.3377573992692734E-2</v>
      </c>
      <c r="AT5" s="515">
        <f t="shared" ref="AT5:AT32" si="5">AR5/$AO$36</f>
        <v>1.4503604086953711E-2</v>
      </c>
    </row>
    <row r="6" spans="1:46" ht="15.6" x14ac:dyDescent="0.3">
      <c r="A6" t="s">
        <v>641</v>
      </c>
      <c r="B6" s="676">
        <v>3025</v>
      </c>
      <c r="C6" s="676"/>
      <c r="F6" s="488" t="s">
        <v>663</v>
      </c>
      <c r="G6" s="511" t="s">
        <v>91</v>
      </c>
      <c r="H6" s="512"/>
      <c r="I6" s="512"/>
      <c r="J6" s="512"/>
      <c r="K6" s="513"/>
      <c r="L6" s="513">
        <f t="shared" ref="L6:L32" si="6">COUNTIF(G6:K6, "x")</f>
        <v>1</v>
      </c>
      <c r="M6" s="573">
        <v>0</v>
      </c>
      <c r="N6" s="501">
        <f>(1-M6)*SWMP!T19</f>
        <v>128</v>
      </c>
      <c r="O6" s="502">
        <f>(1-M6)*SWMP!U19</f>
        <v>204</v>
      </c>
      <c r="P6" s="566">
        <f t="shared" ref="P6:P8" si="7">1-(Q6+R6)</f>
        <v>1</v>
      </c>
      <c r="Q6" s="496"/>
      <c r="R6" s="498"/>
      <c r="S6" s="532">
        <f>IF(G6="x",$X6/$L6,0)</f>
        <v>12800</v>
      </c>
      <c r="T6" s="533">
        <f t="shared" ref="T6:W21" si="8">IF(H6="x",$X6/$L6,0)</f>
        <v>0</v>
      </c>
      <c r="U6" s="533">
        <f t="shared" si="8"/>
        <v>0</v>
      </c>
      <c r="V6" s="533">
        <f t="shared" si="8"/>
        <v>0</v>
      </c>
      <c r="W6" s="585">
        <f t="shared" si="8"/>
        <v>0</v>
      </c>
      <c r="X6" s="489">
        <f>AE6*P6</f>
        <v>12800</v>
      </c>
      <c r="Y6" s="532">
        <f t="shared" si="0"/>
        <v>0</v>
      </c>
      <c r="Z6" s="533">
        <f t="shared" si="0"/>
        <v>0</v>
      </c>
      <c r="AA6" s="533">
        <f>IF(I6="x",$AD6/$L6,0)</f>
        <v>0</v>
      </c>
      <c r="AB6" s="533">
        <f t="shared" si="1"/>
        <v>0</v>
      </c>
      <c r="AC6" s="585">
        <f>IF(K6="x",$AD6/$L6,0)</f>
        <v>0</v>
      </c>
      <c r="AD6" s="490">
        <f>AE6*R6</f>
        <v>0</v>
      </c>
      <c r="AE6" s="526">
        <f>(1-M6)*SWMP!R19</f>
        <v>12800</v>
      </c>
      <c r="AF6" s="532">
        <f t="shared" ref="AF6:AF31" si="9">IF($G6="x",$AK6/$L6,0)</f>
        <v>20400</v>
      </c>
      <c r="AG6" s="533">
        <f>IF(H6="x",$AK6/$L6,0)</f>
        <v>0</v>
      </c>
      <c r="AH6" s="533">
        <f t="shared" ref="AH6:AH32" si="10">IF(I6="x",$AK6/$L6,0)</f>
        <v>0</v>
      </c>
      <c r="AI6" s="533">
        <f t="shared" ref="AI6:AI32" si="11">IF(J6="x",$AK6/$L6,0)</f>
        <v>0</v>
      </c>
      <c r="AJ6" s="537">
        <f t="shared" ref="AJ6:AJ32" si="12">IF(K6="x",$AK6/$L6,0)</f>
        <v>0</v>
      </c>
      <c r="AK6" s="489">
        <f>AR6*P6</f>
        <v>20400</v>
      </c>
      <c r="AL6" s="532">
        <f t="shared" ref="AL6:AL32" si="13">IF($G6="x",$AQ6/$L6,0)</f>
        <v>0</v>
      </c>
      <c r="AM6" s="533">
        <f t="shared" ref="AM6:AM31" si="14">IF(H6="x",$AQ6/$L6,0)</f>
        <v>0</v>
      </c>
      <c r="AN6" s="533">
        <f t="shared" ref="AN6:AN31" si="15">IF(I6="x",$AQ6/$L6,0)</f>
        <v>0</v>
      </c>
      <c r="AO6" s="533">
        <f t="shared" ref="AO6:AO31" si="16">IF(J6="x",$AQ6/$L6,0)</f>
        <v>0</v>
      </c>
      <c r="AP6" s="585">
        <f t="shared" ref="AP6:AP31" si="17">IF(K6="x",$AQ6/$L6,0)</f>
        <v>0</v>
      </c>
      <c r="AQ6" s="490">
        <f>AR6*R6</f>
        <v>0</v>
      </c>
      <c r="AR6" s="491">
        <f>(1-M6)*SWMP!S19</f>
        <v>20400</v>
      </c>
      <c r="AS6" s="514">
        <f t="shared" si="4"/>
        <v>3.4246589421293397E-2</v>
      </c>
      <c r="AT6" s="515">
        <f t="shared" si="5"/>
        <v>2.6417278872665689E-2</v>
      </c>
    </row>
    <row r="7" spans="1:46" ht="15.6" x14ac:dyDescent="0.3">
      <c r="A7" t="s">
        <v>636</v>
      </c>
      <c r="B7" s="676">
        <v>6125</v>
      </c>
      <c r="C7" s="676"/>
      <c r="F7" s="488" t="s">
        <v>664</v>
      </c>
      <c r="G7" s="511" t="s">
        <v>91</v>
      </c>
      <c r="H7" s="512" t="s">
        <v>91</v>
      </c>
      <c r="I7" s="512" t="s">
        <v>91</v>
      </c>
      <c r="J7" s="512" t="s">
        <v>91</v>
      </c>
      <c r="K7" s="513" t="s">
        <v>91</v>
      </c>
      <c r="L7" s="513">
        <f t="shared" si="6"/>
        <v>5</v>
      </c>
      <c r="M7" s="573">
        <v>0</v>
      </c>
      <c r="N7" s="501">
        <f>(1-M7)*'Public Education'!U30</f>
        <v>112</v>
      </c>
      <c r="O7" s="502">
        <f>(1-M7)*'Public Education'!V30</f>
        <v>730</v>
      </c>
      <c r="P7" s="566">
        <f t="shared" si="7"/>
        <v>1</v>
      </c>
      <c r="Q7" s="496"/>
      <c r="R7" s="498"/>
      <c r="S7" s="532">
        <f t="shared" ref="S7:S32" si="18">IF(G7="x",$X7/$L7,0)</f>
        <v>2240</v>
      </c>
      <c r="T7" s="533">
        <f>IF(H7="x",$X7/$L7,0)</f>
        <v>2240</v>
      </c>
      <c r="U7" s="533">
        <f t="shared" si="8"/>
        <v>2240</v>
      </c>
      <c r="V7" s="533">
        <f t="shared" si="8"/>
        <v>2240</v>
      </c>
      <c r="W7" s="585">
        <f t="shared" si="8"/>
        <v>2240</v>
      </c>
      <c r="X7" s="489">
        <f>AE7*P7</f>
        <v>11200</v>
      </c>
      <c r="Y7" s="532">
        <f t="shared" si="0"/>
        <v>0</v>
      </c>
      <c r="Z7" s="533">
        <f>IF(H7="x",$AD7/$L7,0)</f>
        <v>0</v>
      </c>
      <c r="AA7" s="533">
        <f t="shared" si="0"/>
        <v>0</v>
      </c>
      <c r="AB7" s="533">
        <f t="shared" si="1"/>
        <v>0</v>
      </c>
      <c r="AC7" s="585">
        <f>IF(K7="x",$AD7/$L7,0)</f>
        <v>0</v>
      </c>
      <c r="AD7" s="490">
        <f>AE7*R7</f>
        <v>0</v>
      </c>
      <c r="AE7" s="526">
        <f>(1-M7)*'Public Education'!S30</f>
        <v>11200</v>
      </c>
      <c r="AF7" s="532">
        <f t="shared" si="9"/>
        <v>14760</v>
      </c>
      <c r="AG7" s="533">
        <f>IF(H7="x",$AK7/$L7,0)</f>
        <v>14760</v>
      </c>
      <c r="AH7" s="533">
        <f t="shared" si="10"/>
        <v>14760</v>
      </c>
      <c r="AI7" s="533">
        <f t="shared" si="11"/>
        <v>14760</v>
      </c>
      <c r="AJ7" s="537">
        <f t="shared" si="12"/>
        <v>14760</v>
      </c>
      <c r="AK7" s="489">
        <f>AR7*P7</f>
        <v>73800</v>
      </c>
      <c r="AL7" s="532">
        <f t="shared" si="13"/>
        <v>0</v>
      </c>
      <c r="AM7" s="533">
        <f t="shared" si="14"/>
        <v>0</v>
      </c>
      <c r="AN7" s="533">
        <f t="shared" si="15"/>
        <v>0</v>
      </c>
      <c r="AO7" s="533">
        <f t="shared" si="16"/>
        <v>0</v>
      </c>
      <c r="AP7" s="585">
        <f t="shared" si="17"/>
        <v>0</v>
      </c>
      <c r="AQ7" s="490">
        <f>AR7*R7</f>
        <v>0</v>
      </c>
      <c r="AR7" s="491">
        <f>(1-M7)*'Public Education'!T30</f>
        <v>73800</v>
      </c>
      <c r="AS7" s="514">
        <f t="shared" si="4"/>
        <v>2.9965765743631724E-2</v>
      </c>
      <c r="AT7" s="515">
        <f t="shared" si="5"/>
        <v>9.5568391215819989E-2</v>
      </c>
    </row>
    <row r="8" spans="1:46" ht="15.6" x14ac:dyDescent="0.3">
      <c r="A8" t="s">
        <v>637</v>
      </c>
      <c r="B8" s="693">
        <v>100</v>
      </c>
      <c r="C8" s="693"/>
      <c r="F8" s="488" t="s">
        <v>665</v>
      </c>
      <c r="G8" s="511" t="s">
        <v>91</v>
      </c>
      <c r="H8" s="512" t="s">
        <v>91</v>
      </c>
      <c r="I8" s="512" t="s">
        <v>91</v>
      </c>
      <c r="J8" s="512" t="s">
        <v>91</v>
      </c>
      <c r="K8" s="513" t="s">
        <v>91</v>
      </c>
      <c r="L8" s="513">
        <f t="shared" si="6"/>
        <v>5</v>
      </c>
      <c r="M8" s="573">
        <v>0</v>
      </c>
      <c r="N8" s="501">
        <f>(1-M8)*'Public Participation'!S20</f>
        <v>80</v>
      </c>
      <c r="O8" s="502">
        <f>(1-M8)*'Public Participation'!T20</f>
        <v>150</v>
      </c>
      <c r="P8" s="566">
        <f t="shared" si="7"/>
        <v>1</v>
      </c>
      <c r="Q8" s="496"/>
      <c r="R8" s="498"/>
      <c r="S8" s="532">
        <f t="shared" si="18"/>
        <v>1800</v>
      </c>
      <c r="T8" s="533">
        <f>IF(H8="x",$X8/$L8,0)</f>
        <v>1800</v>
      </c>
      <c r="U8" s="533">
        <f t="shared" si="8"/>
        <v>1800</v>
      </c>
      <c r="V8" s="533">
        <f t="shared" si="8"/>
        <v>1800</v>
      </c>
      <c r="W8" s="585">
        <f t="shared" si="8"/>
        <v>1800</v>
      </c>
      <c r="X8" s="489">
        <f>AE8*P8</f>
        <v>9000</v>
      </c>
      <c r="Y8" s="532">
        <f t="shared" si="0"/>
        <v>0</v>
      </c>
      <c r="Z8" s="533">
        <f>IF(H8="x",$AD8/$L8,0)</f>
        <v>0</v>
      </c>
      <c r="AA8" s="533">
        <f>IF(I8="x",$AD8/$L8,0)</f>
        <v>0</v>
      </c>
      <c r="AB8" s="533">
        <f t="shared" si="1"/>
        <v>0</v>
      </c>
      <c r="AC8" s="585">
        <f t="shared" si="2"/>
        <v>0</v>
      </c>
      <c r="AD8" s="490">
        <f>AE8*R8</f>
        <v>0</v>
      </c>
      <c r="AE8" s="526">
        <f>(1-M8)*'Public Participation'!Q20</f>
        <v>9000</v>
      </c>
      <c r="AF8" s="532">
        <f>IF($G8="x",$AK8/$L8,0)</f>
        <v>3400</v>
      </c>
      <c r="AG8" s="533">
        <f t="shared" ref="AG8:AG32" si="19">IF(H8="x",$AK8/$L8,0)</f>
        <v>3400</v>
      </c>
      <c r="AH8" s="533">
        <f t="shared" si="10"/>
        <v>3400</v>
      </c>
      <c r="AI8" s="533">
        <f t="shared" si="11"/>
        <v>3400</v>
      </c>
      <c r="AJ8" s="537">
        <f t="shared" si="12"/>
        <v>3400</v>
      </c>
      <c r="AK8" s="489">
        <f>AR8*P8</f>
        <v>17000</v>
      </c>
      <c r="AL8" s="532">
        <f t="shared" si="13"/>
        <v>0</v>
      </c>
      <c r="AM8" s="533">
        <f t="shared" si="14"/>
        <v>0</v>
      </c>
      <c r="AN8" s="533">
        <f t="shared" si="15"/>
        <v>0</v>
      </c>
      <c r="AO8" s="533">
        <f>IF(J8="x",$AQ8/$L8,0)</f>
        <v>0</v>
      </c>
      <c r="AP8" s="585">
        <f t="shared" si="17"/>
        <v>0</v>
      </c>
      <c r="AQ8" s="490">
        <f>AR8*R8</f>
        <v>0</v>
      </c>
      <c r="AR8" s="491">
        <f>(1-M8)*'Public Participation'!R20</f>
        <v>17000</v>
      </c>
      <c r="AS8" s="514">
        <f t="shared" si="4"/>
        <v>2.4079633186846923E-2</v>
      </c>
      <c r="AT8" s="515">
        <f t="shared" si="5"/>
        <v>2.2014399060554739E-2</v>
      </c>
    </row>
    <row r="9" spans="1:46" ht="15.6" x14ac:dyDescent="0.3">
      <c r="B9" s="1"/>
      <c r="C9" s="1"/>
      <c r="F9" s="488" t="s">
        <v>666</v>
      </c>
      <c r="G9" s="615"/>
      <c r="H9" s="616"/>
      <c r="I9" s="616"/>
      <c r="J9" s="616"/>
      <c r="K9" s="617"/>
      <c r="L9" s="617"/>
      <c r="M9" s="618"/>
      <c r="N9" s="501">
        <f>SUM(N10:N16)</f>
        <v>444.2</v>
      </c>
      <c r="O9" s="502">
        <f>SUM(O10:O16)</f>
        <v>1193.3599999999999</v>
      </c>
      <c r="P9" s="619"/>
      <c r="Q9" s="620"/>
      <c r="R9" s="621"/>
      <c r="S9" s="622"/>
      <c r="T9" s="623"/>
      <c r="U9" s="623"/>
      <c r="V9" s="623"/>
      <c r="W9" s="624"/>
      <c r="X9" s="489">
        <f>SUM(X10:X16)</f>
        <v>46919.846346666665</v>
      </c>
      <c r="Y9" s="622"/>
      <c r="Z9" s="623"/>
      <c r="AA9" s="623"/>
      <c r="AB9" s="623"/>
      <c r="AC9" s="624"/>
      <c r="AD9" s="490">
        <f t="shared" ref="AD9:AQ9" si="20">SUM(AD10:AD16)</f>
        <v>0</v>
      </c>
      <c r="AE9" s="489">
        <f>SUM(AE10:AE16)</f>
        <v>46919.846346666665</v>
      </c>
      <c r="AF9" s="622"/>
      <c r="AG9" s="623"/>
      <c r="AH9" s="623"/>
      <c r="AI9" s="623"/>
      <c r="AJ9" s="624"/>
      <c r="AK9" s="489">
        <f t="shared" si="20"/>
        <v>125128.9114</v>
      </c>
      <c r="AL9" s="622"/>
      <c r="AM9" s="623"/>
      <c r="AN9" s="623"/>
      <c r="AO9" s="623"/>
      <c r="AP9" s="624"/>
      <c r="AQ9" s="490">
        <f t="shared" si="20"/>
        <v>0</v>
      </c>
      <c r="AR9" s="491">
        <f>SUM(AR10:AR16)</f>
        <v>125128.9114</v>
      </c>
      <c r="AS9" s="514">
        <f t="shared" si="4"/>
        <v>0.12553474324566144</v>
      </c>
      <c r="AT9" s="515">
        <f t="shared" si="5"/>
        <v>0.16203751703367042</v>
      </c>
    </row>
    <row r="10" spans="1:46" ht="15.6" x14ac:dyDescent="0.3">
      <c r="A10" s="488" t="s">
        <v>638</v>
      </c>
      <c r="B10" s="1"/>
      <c r="C10" s="1"/>
      <c r="F10" s="5" t="s">
        <v>667</v>
      </c>
      <c r="G10" s="521" t="s">
        <v>91</v>
      </c>
      <c r="H10" s="497"/>
      <c r="I10" s="497"/>
      <c r="J10" s="497"/>
      <c r="K10" s="522"/>
      <c r="L10" s="513">
        <f t="shared" si="6"/>
        <v>1</v>
      </c>
      <c r="M10" s="573">
        <v>0</v>
      </c>
      <c r="N10" s="505">
        <f>(1-M10)*IDDE!K69</f>
        <v>16</v>
      </c>
      <c r="O10" s="506">
        <f>(1-M10)*IDDE!L69</f>
        <v>48</v>
      </c>
      <c r="P10" s="566">
        <f t="shared" ref="P10:P16" si="21">1-(Q10+R10)</f>
        <v>1</v>
      </c>
      <c r="Q10" s="496"/>
      <c r="R10" s="498"/>
      <c r="S10" s="532">
        <f t="shared" si="18"/>
        <v>1600</v>
      </c>
      <c r="T10" s="533">
        <f t="shared" si="8"/>
        <v>0</v>
      </c>
      <c r="U10" s="533">
        <f t="shared" si="8"/>
        <v>0</v>
      </c>
      <c r="V10" s="533">
        <f t="shared" si="8"/>
        <v>0</v>
      </c>
      <c r="W10" s="585">
        <f t="shared" si="8"/>
        <v>0</v>
      </c>
      <c r="X10" s="486">
        <f t="shared" ref="X10:X16" si="22">AE10*P10</f>
        <v>1600</v>
      </c>
      <c r="Y10" s="532">
        <f t="shared" ref="Y10:Y16" si="23">IF(G10="x",$AD10/$L10,0)</f>
        <v>0</v>
      </c>
      <c r="Z10" s="533">
        <f t="shared" ref="Z10:Z16" si="24">IF(H10="x",$AD10/$L10,0)</f>
        <v>0</v>
      </c>
      <c r="AA10" s="533">
        <f t="shared" ref="AA10:AA16" si="25">IF(I10="x",$AD10/$L10,0)</f>
        <v>0</v>
      </c>
      <c r="AB10" s="533">
        <f t="shared" ref="AB10:AB16" si="26">IF(J10="x",$AD10/$L10,0)</f>
        <v>0</v>
      </c>
      <c r="AC10" s="585">
        <f t="shared" ref="AC10:AC16" si="27">IF(K10="x",$AD10/$L10,0)</f>
        <v>0</v>
      </c>
      <c r="AD10" s="487">
        <f t="shared" ref="AD10:AD16" si="28">AE10*R10</f>
        <v>0</v>
      </c>
      <c r="AE10" s="486">
        <f>(1-M10)*IDDE!T69</f>
        <v>1600</v>
      </c>
      <c r="AF10" s="532">
        <f t="shared" si="9"/>
        <v>4800</v>
      </c>
      <c r="AG10" s="533">
        <f t="shared" si="19"/>
        <v>0</v>
      </c>
      <c r="AH10" s="533">
        <f t="shared" si="10"/>
        <v>0</v>
      </c>
      <c r="AI10" s="533">
        <f t="shared" si="11"/>
        <v>0</v>
      </c>
      <c r="AJ10" s="537">
        <f t="shared" si="12"/>
        <v>0</v>
      </c>
      <c r="AK10" s="486">
        <f t="shared" ref="AK10:AK16" si="29">AR10*P10</f>
        <v>4800</v>
      </c>
      <c r="AL10" s="532">
        <f t="shared" si="13"/>
        <v>0</v>
      </c>
      <c r="AM10" s="533">
        <f t="shared" si="14"/>
        <v>0</v>
      </c>
      <c r="AN10" s="533">
        <f t="shared" si="15"/>
        <v>0</v>
      </c>
      <c r="AO10" s="533">
        <f t="shared" si="16"/>
        <v>0</v>
      </c>
      <c r="AP10" s="585">
        <f t="shared" si="17"/>
        <v>0</v>
      </c>
      <c r="AQ10" s="487">
        <f t="shared" ref="AQ10:AQ16" si="30">AR10*R10</f>
        <v>0</v>
      </c>
      <c r="AR10" s="485">
        <f>(1-M10)*IDDE!U69</f>
        <v>4800</v>
      </c>
      <c r="AS10" s="559">
        <f t="shared" si="4"/>
        <v>4.2808236776616746E-3</v>
      </c>
      <c r="AT10" s="597">
        <f t="shared" si="5"/>
        <v>6.215830322980162E-3</v>
      </c>
    </row>
    <row r="11" spans="1:46" ht="15.6" x14ac:dyDescent="0.3">
      <c r="A11" t="s">
        <v>639</v>
      </c>
      <c r="B11" s="676">
        <v>12</v>
      </c>
      <c r="C11" s="676"/>
      <c r="F11" s="5" t="s">
        <v>668</v>
      </c>
      <c r="G11" s="521" t="s">
        <v>91</v>
      </c>
      <c r="H11" s="497" t="s">
        <v>91</v>
      </c>
      <c r="I11" s="497"/>
      <c r="J11" s="497"/>
      <c r="K11" s="522"/>
      <c r="L11" s="513">
        <f t="shared" si="6"/>
        <v>2</v>
      </c>
      <c r="M11" s="573">
        <v>0</v>
      </c>
      <c r="N11" s="505">
        <f>(1-M11)*SUM(IDDE!K38:K40)</f>
        <v>134.80000000000001</v>
      </c>
      <c r="O11" s="506">
        <f>(1-M11)*SUM(IDDE!L38:L40)</f>
        <v>656.56000000000006</v>
      </c>
      <c r="P11" s="566">
        <f t="shared" si="21"/>
        <v>1</v>
      </c>
      <c r="Q11" s="496"/>
      <c r="R11" s="498"/>
      <c r="S11" s="532">
        <f t="shared" si="18"/>
        <v>6740</v>
      </c>
      <c r="T11" s="533">
        <f t="shared" si="8"/>
        <v>6740</v>
      </c>
      <c r="U11" s="533">
        <f t="shared" si="8"/>
        <v>0</v>
      </c>
      <c r="V11" s="533">
        <f t="shared" si="8"/>
        <v>0</v>
      </c>
      <c r="W11" s="585">
        <f t="shared" si="8"/>
        <v>0</v>
      </c>
      <c r="X11" s="486">
        <f t="shared" si="22"/>
        <v>13480</v>
      </c>
      <c r="Y11" s="532">
        <f t="shared" si="23"/>
        <v>0</v>
      </c>
      <c r="Z11" s="533">
        <f t="shared" si="24"/>
        <v>0</v>
      </c>
      <c r="AA11" s="533">
        <f t="shared" si="25"/>
        <v>0</v>
      </c>
      <c r="AB11" s="533">
        <f t="shared" si="26"/>
        <v>0</v>
      </c>
      <c r="AC11" s="585">
        <f t="shared" si="27"/>
        <v>0</v>
      </c>
      <c r="AD11" s="487">
        <f t="shared" si="28"/>
        <v>0</v>
      </c>
      <c r="AE11" s="486">
        <f>(1-M11)*SUM(IDDE!T38:T40)</f>
        <v>13480</v>
      </c>
      <c r="AF11" s="532">
        <f t="shared" si="9"/>
        <v>33601</v>
      </c>
      <c r="AG11" s="533">
        <f t="shared" si="19"/>
        <v>33601</v>
      </c>
      <c r="AH11" s="533">
        <f t="shared" si="10"/>
        <v>0</v>
      </c>
      <c r="AI11" s="533">
        <f t="shared" si="11"/>
        <v>0</v>
      </c>
      <c r="AJ11" s="537">
        <f t="shared" si="12"/>
        <v>0</v>
      </c>
      <c r="AK11" s="486">
        <f t="shared" si="29"/>
        <v>67202</v>
      </c>
      <c r="AL11" s="532">
        <f t="shared" si="13"/>
        <v>0</v>
      </c>
      <c r="AM11" s="533">
        <f t="shared" si="14"/>
        <v>0</v>
      </c>
      <c r="AN11" s="533">
        <f t="shared" si="15"/>
        <v>0</v>
      </c>
      <c r="AO11" s="533">
        <f t="shared" si="16"/>
        <v>0</v>
      </c>
      <c r="AP11" s="585">
        <f t="shared" si="17"/>
        <v>0</v>
      </c>
      <c r="AQ11" s="487">
        <f t="shared" si="30"/>
        <v>0</v>
      </c>
      <c r="AR11" s="485">
        <f>(1-M11)*SUM(IDDE!U38:U40)</f>
        <v>67202</v>
      </c>
      <c r="AS11" s="559">
        <f t="shared" si="4"/>
        <v>3.6065939484299613E-2</v>
      </c>
      <c r="AT11" s="597">
        <f t="shared" si="5"/>
        <v>8.7024214451023513E-2</v>
      </c>
    </row>
    <row r="12" spans="1:46" ht="15.6" x14ac:dyDescent="0.3">
      <c r="A12" t="s">
        <v>640</v>
      </c>
      <c r="B12" s="676">
        <v>773</v>
      </c>
      <c r="C12" s="676"/>
      <c r="F12" s="5" t="s">
        <v>669</v>
      </c>
      <c r="G12" s="521" t="s">
        <v>91</v>
      </c>
      <c r="H12" s="497" t="s">
        <v>91</v>
      </c>
      <c r="I12" s="497" t="s">
        <v>91</v>
      </c>
      <c r="J12" s="497"/>
      <c r="K12" s="522"/>
      <c r="L12" s="513">
        <f t="shared" si="6"/>
        <v>3</v>
      </c>
      <c r="M12" s="573">
        <v>0</v>
      </c>
      <c r="N12" s="507">
        <f>(1-M12)*SUM(IDDE!V47:V49)</f>
        <v>24</v>
      </c>
      <c r="O12" s="508">
        <f>(1-M12)*SUM(IDDE!W47:W49)</f>
        <v>160</v>
      </c>
      <c r="P12" s="566">
        <f t="shared" si="21"/>
        <v>1</v>
      </c>
      <c r="Q12" s="496"/>
      <c r="R12" s="498"/>
      <c r="S12" s="532">
        <f t="shared" si="18"/>
        <v>800</v>
      </c>
      <c r="T12" s="533">
        <f t="shared" si="8"/>
        <v>800</v>
      </c>
      <c r="U12" s="533">
        <f t="shared" si="8"/>
        <v>800</v>
      </c>
      <c r="V12" s="533">
        <f t="shared" si="8"/>
        <v>0</v>
      </c>
      <c r="W12" s="585">
        <f t="shared" si="8"/>
        <v>0</v>
      </c>
      <c r="X12" s="486">
        <f t="shared" si="22"/>
        <v>2400</v>
      </c>
      <c r="Y12" s="532">
        <f t="shared" si="23"/>
        <v>0</v>
      </c>
      <c r="Z12" s="533">
        <f t="shared" si="24"/>
        <v>0</v>
      </c>
      <c r="AA12" s="533">
        <f t="shared" si="25"/>
        <v>0</v>
      </c>
      <c r="AB12" s="533">
        <f t="shared" si="26"/>
        <v>0</v>
      </c>
      <c r="AC12" s="585">
        <f t="shared" si="27"/>
        <v>0</v>
      </c>
      <c r="AD12" s="487">
        <f t="shared" si="28"/>
        <v>0</v>
      </c>
      <c r="AE12" s="486">
        <f>(1-M12)*SUM(IDDE!T47:T49)</f>
        <v>2400</v>
      </c>
      <c r="AF12" s="532">
        <f t="shared" si="9"/>
        <v>5333.333333333333</v>
      </c>
      <c r="AG12" s="533">
        <f t="shared" si="19"/>
        <v>5333.333333333333</v>
      </c>
      <c r="AH12" s="533">
        <f t="shared" si="10"/>
        <v>5333.333333333333</v>
      </c>
      <c r="AI12" s="533">
        <f t="shared" si="11"/>
        <v>0</v>
      </c>
      <c r="AJ12" s="537">
        <f t="shared" si="12"/>
        <v>0</v>
      </c>
      <c r="AK12" s="486">
        <f t="shared" si="29"/>
        <v>16000</v>
      </c>
      <c r="AL12" s="532">
        <f t="shared" si="13"/>
        <v>0</v>
      </c>
      <c r="AM12" s="533">
        <f t="shared" si="14"/>
        <v>0</v>
      </c>
      <c r="AN12" s="533">
        <f t="shared" si="15"/>
        <v>0</v>
      </c>
      <c r="AO12" s="533">
        <f t="shared" si="16"/>
        <v>0</v>
      </c>
      <c r="AP12" s="585">
        <f t="shared" si="17"/>
        <v>0</v>
      </c>
      <c r="AQ12" s="487">
        <f t="shared" si="30"/>
        <v>0</v>
      </c>
      <c r="AR12" s="485">
        <f>(1-M12)*SUM(IDDE!U47:U49)</f>
        <v>16000</v>
      </c>
      <c r="AS12" s="559">
        <f t="shared" si="4"/>
        <v>6.4212355164925128E-3</v>
      </c>
      <c r="AT12" s="597">
        <f t="shared" si="5"/>
        <v>2.0719434409933873E-2</v>
      </c>
    </row>
    <row r="13" spans="1:46" ht="16.2" thickBot="1" x14ac:dyDescent="0.35">
      <c r="A13" t="s">
        <v>645</v>
      </c>
      <c r="B13" s="453">
        <f>0.2*B12</f>
        <v>154.60000000000002</v>
      </c>
      <c r="C13" s="453">
        <f>3*B11</f>
        <v>36</v>
      </c>
      <c r="F13" s="5" t="s">
        <v>670</v>
      </c>
      <c r="G13" s="521" t="s">
        <v>91</v>
      </c>
      <c r="H13" s="497" t="s">
        <v>91</v>
      </c>
      <c r="I13" s="497" t="s">
        <v>91</v>
      </c>
      <c r="J13" s="497"/>
      <c r="K13" s="522"/>
      <c r="L13" s="513">
        <f t="shared" si="6"/>
        <v>3</v>
      </c>
      <c r="M13" s="573">
        <v>0</v>
      </c>
      <c r="N13" s="507">
        <f>(1-M13)*IDDE!V52</f>
        <v>132</v>
      </c>
      <c r="O13" s="508">
        <f>(1-M13)*IDDE!W52</f>
        <v>212</v>
      </c>
      <c r="P13" s="566">
        <f t="shared" si="21"/>
        <v>1</v>
      </c>
      <c r="Q13" s="496"/>
      <c r="R13" s="498"/>
      <c r="S13" s="532">
        <f t="shared" si="18"/>
        <v>4579.0392000000002</v>
      </c>
      <c r="T13" s="533">
        <f t="shared" si="8"/>
        <v>4579.0392000000002</v>
      </c>
      <c r="U13" s="533">
        <f t="shared" si="8"/>
        <v>4579.0392000000002</v>
      </c>
      <c r="V13" s="533">
        <f t="shared" si="8"/>
        <v>0</v>
      </c>
      <c r="W13" s="585">
        <f t="shared" si="8"/>
        <v>0</v>
      </c>
      <c r="X13" s="486">
        <f t="shared" si="22"/>
        <v>13737.1176</v>
      </c>
      <c r="Y13" s="532">
        <f t="shared" si="23"/>
        <v>0</v>
      </c>
      <c r="Z13" s="533">
        <f>IF(H13="x",$AD13/$L13,0)</f>
        <v>0</v>
      </c>
      <c r="AA13" s="533">
        <f t="shared" si="25"/>
        <v>0</v>
      </c>
      <c r="AB13" s="533">
        <f t="shared" si="26"/>
        <v>0</v>
      </c>
      <c r="AC13" s="585">
        <f t="shared" si="27"/>
        <v>0</v>
      </c>
      <c r="AD13" s="487">
        <f t="shared" si="28"/>
        <v>0</v>
      </c>
      <c r="AE13" s="486">
        <f>(1-M13)*IDDE!T52</f>
        <v>13737.1176</v>
      </c>
      <c r="AF13" s="532">
        <f t="shared" si="9"/>
        <v>7245.7058666666671</v>
      </c>
      <c r="AG13" s="533">
        <f t="shared" si="19"/>
        <v>7245.7058666666671</v>
      </c>
      <c r="AH13" s="533">
        <f t="shared" si="10"/>
        <v>7245.7058666666671</v>
      </c>
      <c r="AI13" s="533">
        <f t="shared" si="11"/>
        <v>0</v>
      </c>
      <c r="AJ13" s="537">
        <f t="shared" si="12"/>
        <v>0</v>
      </c>
      <c r="AK13" s="486">
        <f t="shared" si="29"/>
        <v>21737.117600000001</v>
      </c>
      <c r="AL13" s="532">
        <f t="shared" si="13"/>
        <v>0</v>
      </c>
      <c r="AM13" s="533">
        <f t="shared" si="14"/>
        <v>0</v>
      </c>
      <c r="AN13" s="533">
        <f t="shared" si="15"/>
        <v>0</v>
      </c>
      <c r="AO13" s="533">
        <f t="shared" si="16"/>
        <v>0</v>
      </c>
      <c r="AP13" s="585">
        <f t="shared" si="17"/>
        <v>0</v>
      </c>
      <c r="AQ13" s="487">
        <f t="shared" si="30"/>
        <v>0</v>
      </c>
      <c r="AR13" s="485">
        <f>(1-M13)*IDDE!U52</f>
        <v>21737.117600000001</v>
      </c>
      <c r="AS13" s="559">
        <f t="shared" si="4"/>
        <v>3.6753861428064326E-2</v>
      </c>
      <c r="AT13" s="597">
        <f t="shared" si="5"/>
        <v>2.8148798898388703E-2</v>
      </c>
    </row>
    <row r="14" spans="1:46" ht="16.8" thickTop="1" thickBot="1" x14ac:dyDescent="0.35">
      <c r="A14" t="s">
        <v>692</v>
      </c>
      <c r="B14" s="689">
        <v>0.1</v>
      </c>
      <c r="C14" s="690"/>
      <c r="F14" s="5" t="s">
        <v>671</v>
      </c>
      <c r="G14" s="521"/>
      <c r="H14" s="497"/>
      <c r="I14" s="497" t="s">
        <v>91</v>
      </c>
      <c r="J14" s="497" t="s">
        <v>91</v>
      </c>
      <c r="K14" s="522" t="s">
        <v>91</v>
      </c>
      <c r="L14" s="513">
        <f t="shared" si="6"/>
        <v>3</v>
      </c>
      <c r="M14" s="573">
        <v>0</v>
      </c>
      <c r="N14" s="507">
        <f>(1-M14)*IDDE!V54</f>
        <v>2.4</v>
      </c>
      <c r="O14" s="508">
        <f>(1-M14)*IDDE!W54</f>
        <v>7.1999999999999993</v>
      </c>
      <c r="P14" s="566">
        <f t="shared" si="21"/>
        <v>1</v>
      </c>
      <c r="Q14" s="496"/>
      <c r="R14" s="498"/>
      <c r="S14" s="532">
        <f t="shared" si="18"/>
        <v>0</v>
      </c>
      <c r="T14" s="533">
        <f t="shared" si="8"/>
        <v>0</v>
      </c>
      <c r="U14" s="533">
        <f t="shared" si="8"/>
        <v>108.38233333333334</v>
      </c>
      <c r="V14" s="533">
        <f t="shared" si="8"/>
        <v>108.38233333333334</v>
      </c>
      <c r="W14" s="585">
        <f t="shared" si="8"/>
        <v>108.38233333333334</v>
      </c>
      <c r="X14" s="486">
        <f t="shared" si="22"/>
        <v>325.14699999999999</v>
      </c>
      <c r="Y14" s="532">
        <f t="shared" si="23"/>
        <v>0</v>
      </c>
      <c r="Z14" s="533">
        <f t="shared" si="24"/>
        <v>0</v>
      </c>
      <c r="AA14" s="533">
        <f t="shared" si="25"/>
        <v>0</v>
      </c>
      <c r="AB14" s="533">
        <f t="shared" si="26"/>
        <v>0</v>
      </c>
      <c r="AC14" s="585">
        <f t="shared" si="27"/>
        <v>0</v>
      </c>
      <c r="AD14" s="487">
        <f t="shared" si="28"/>
        <v>0</v>
      </c>
      <c r="AE14" s="486">
        <f>(1-M14)*IDDE!T54</f>
        <v>325.14699999999999</v>
      </c>
      <c r="AF14" s="532">
        <f t="shared" si="9"/>
        <v>0</v>
      </c>
      <c r="AG14" s="533">
        <f t="shared" si="19"/>
        <v>0</v>
      </c>
      <c r="AH14" s="533">
        <f t="shared" si="10"/>
        <v>325.14699999999993</v>
      </c>
      <c r="AI14" s="533">
        <f t="shared" si="11"/>
        <v>325.14699999999993</v>
      </c>
      <c r="AJ14" s="537">
        <f t="shared" si="12"/>
        <v>325.14699999999993</v>
      </c>
      <c r="AK14" s="486">
        <f t="shared" si="29"/>
        <v>975.4409999999998</v>
      </c>
      <c r="AL14" s="532">
        <f t="shared" si="13"/>
        <v>0</v>
      </c>
      <c r="AM14" s="533">
        <f t="shared" si="14"/>
        <v>0</v>
      </c>
      <c r="AN14" s="533">
        <f t="shared" si="15"/>
        <v>0</v>
      </c>
      <c r="AO14" s="533">
        <f t="shared" si="16"/>
        <v>0</v>
      </c>
      <c r="AP14" s="585">
        <f t="shared" si="17"/>
        <v>0</v>
      </c>
      <c r="AQ14" s="487">
        <f t="shared" si="30"/>
        <v>0</v>
      </c>
      <c r="AR14" s="485">
        <f>(1-M14)*IDDE!U54</f>
        <v>975.4409999999998</v>
      </c>
      <c r="AS14" s="559">
        <f t="shared" si="4"/>
        <v>8.6993561020041283E-4</v>
      </c>
      <c r="AT14" s="597">
        <f t="shared" si="5"/>
        <v>1.263161613766269E-3</v>
      </c>
    </row>
    <row r="15" spans="1:46" ht="16.2" thickTop="1" x14ac:dyDescent="0.3">
      <c r="A15" t="s">
        <v>642</v>
      </c>
      <c r="B15" s="692">
        <f>ROUND(0.25*B11,0)</f>
        <v>3</v>
      </c>
      <c r="C15" s="692"/>
      <c r="F15" s="5" t="s">
        <v>672</v>
      </c>
      <c r="G15" s="521"/>
      <c r="H15" s="497" t="s">
        <v>91</v>
      </c>
      <c r="I15" s="497" t="s">
        <v>91</v>
      </c>
      <c r="J15" s="497" t="s">
        <v>91</v>
      </c>
      <c r="K15" s="522" t="s">
        <v>91</v>
      </c>
      <c r="L15" s="513">
        <f t="shared" si="6"/>
        <v>4</v>
      </c>
      <c r="M15" s="573">
        <v>0</v>
      </c>
      <c r="N15" s="507">
        <f>(1-M15)*IDDE!V61</f>
        <v>35</v>
      </c>
      <c r="O15" s="508">
        <f>(1-M15)*IDDE!W61</f>
        <v>9.6</v>
      </c>
      <c r="P15" s="566">
        <f t="shared" si="21"/>
        <v>1</v>
      </c>
      <c r="Q15" s="496"/>
      <c r="R15" s="498"/>
      <c r="S15" s="532">
        <f t="shared" si="18"/>
        <v>0</v>
      </c>
      <c r="T15" s="533">
        <f t="shared" si="8"/>
        <v>1219.3954366666667</v>
      </c>
      <c r="U15" s="533">
        <f t="shared" si="8"/>
        <v>1219.3954366666667</v>
      </c>
      <c r="V15" s="533">
        <f t="shared" si="8"/>
        <v>1219.3954366666667</v>
      </c>
      <c r="W15" s="585">
        <f t="shared" si="8"/>
        <v>1219.3954366666667</v>
      </c>
      <c r="X15" s="486">
        <f t="shared" si="22"/>
        <v>4877.5817466666667</v>
      </c>
      <c r="Y15" s="532">
        <f t="shared" si="23"/>
        <v>0</v>
      </c>
      <c r="Z15" s="533">
        <f t="shared" si="24"/>
        <v>0</v>
      </c>
      <c r="AA15" s="533">
        <f t="shared" si="25"/>
        <v>0</v>
      </c>
      <c r="AB15" s="533">
        <f t="shared" si="26"/>
        <v>0</v>
      </c>
      <c r="AC15" s="585">
        <f t="shared" si="27"/>
        <v>0</v>
      </c>
      <c r="AD15" s="487">
        <f t="shared" si="28"/>
        <v>0</v>
      </c>
      <c r="AE15" s="486">
        <f>(1-M15)*SUM(IDDE!T61,IDDE!T65)</f>
        <v>4877.5817466666667</v>
      </c>
      <c r="AF15" s="532">
        <f t="shared" si="9"/>
        <v>0</v>
      </c>
      <c r="AG15" s="533">
        <f t="shared" si="19"/>
        <v>478.58820000000003</v>
      </c>
      <c r="AH15" s="533">
        <f t="shared" si="10"/>
        <v>478.58820000000003</v>
      </c>
      <c r="AI15" s="533">
        <f t="shared" si="11"/>
        <v>478.58820000000003</v>
      </c>
      <c r="AJ15" s="537">
        <f t="shared" si="12"/>
        <v>478.58820000000003</v>
      </c>
      <c r="AK15" s="486">
        <f t="shared" si="29"/>
        <v>1914.3528000000001</v>
      </c>
      <c r="AL15" s="532">
        <f t="shared" si="13"/>
        <v>0</v>
      </c>
      <c r="AM15" s="533">
        <f t="shared" si="14"/>
        <v>0</v>
      </c>
      <c r="AN15" s="533">
        <f t="shared" si="15"/>
        <v>0</v>
      </c>
      <c r="AO15" s="533">
        <f t="shared" si="16"/>
        <v>0</v>
      </c>
      <c r="AP15" s="585">
        <f t="shared" si="17"/>
        <v>0</v>
      </c>
      <c r="AQ15" s="487">
        <f t="shared" si="30"/>
        <v>0</v>
      </c>
      <c r="AR15" s="485">
        <f>(1-M15)*SUM(IDDE!U61,IDDE!U65)</f>
        <v>1914.3528000000001</v>
      </c>
      <c r="AS15" s="559">
        <f t="shared" si="4"/>
        <v>1.3050042144288161E-2</v>
      </c>
      <c r="AT15" s="597">
        <f t="shared" si="5"/>
        <v>2.4790192048170785E-3</v>
      </c>
    </row>
    <row r="16" spans="1:46" ht="15.6" x14ac:dyDescent="0.3">
      <c r="A16" t="s">
        <v>643</v>
      </c>
      <c r="B16" s="684">
        <f>ROUND(0.75*B11,0)</f>
        <v>9</v>
      </c>
      <c r="C16" s="684"/>
      <c r="F16" s="5" t="s">
        <v>673</v>
      </c>
      <c r="G16" s="521" t="s">
        <v>91</v>
      </c>
      <c r="H16" s="497" t="s">
        <v>91</v>
      </c>
      <c r="I16" s="497" t="s">
        <v>91</v>
      </c>
      <c r="J16" s="497" t="s">
        <v>91</v>
      </c>
      <c r="K16" s="522" t="s">
        <v>91</v>
      </c>
      <c r="L16" s="513">
        <f t="shared" si="6"/>
        <v>5</v>
      </c>
      <c r="M16" s="573">
        <v>0</v>
      </c>
      <c r="N16" s="507">
        <f>(1-M16)*IDDE!V79</f>
        <v>100</v>
      </c>
      <c r="O16" s="508">
        <f>(1-M16)*IDDE!W79</f>
        <v>100</v>
      </c>
      <c r="P16" s="566">
        <f t="shared" si="21"/>
        <v>1</v>
      </c>
      <c r="Q16" s="496"/>
      <c r="R16" s="498"/>
      <c r="S16" s="532">
        <f t="shared" si="18"/>
        <v>2100</v>
      </c>
      <c r="T16" s="533">
        <f t="shared" si="8"/>
        <v>2100</v>
      </c>
      <c r="U16" s="533">
        <f t="shared" si="8"/>
        <v>2100</v>
      </c>
      <c r="V16" s="533">
        <f t="shared" si="8"/>
        <v>2100</v>
      </c>
      <c r="W16" s="585">
        <f t="shared" si="8"/>
        <v>2100</v>
      </c>
      <c r="X16" s="486">
        <f t="shared" si="22"/>
        <v>10500</v>
      </c>
      <c r="Y16" s="532">
        <f t="shared" si="23"/>
        <v>0</v>
      </c>
      <c r="Z16" s="533">
        <f t="shared" si="24"/>
        <v>0</v>
      </c>
      <c r="AA16" s="533">
        <f t="shared" si="25"/>
        <v>0</v>
      </c>
      <c r="AB16" s="533">
        <f t="shared" si="26"/>
        <v>0</v>
      </c>
      <c r="AC16" s="585">
        <f t="shared" si="27"/>
        <v>0</v>
      </c>
      <c r="AD16" s="487">
        <f t="shared" si="28"/>
        <v>0</v>
      </c>
      <c r="AE16" s="486">
        <f>(1-M16)*IDDE!T79</f>
        <v>10500</v>
      </c>
      <c r="AF16" s="532">
        <f t="shared" si="9"/>
        <v>2500</v>
      </c>
      <c r="AG16" s="533">
        <f t="shared" si="19"/>
        <v>2500</v>
      </c>
      <c r="AH16" s="533">
        <f t="shared" si="10"/>
        <v>2500</v>
      </c>
      <c r="AI16" s="533">
        <f t="shared" si="11"/>
        <v>2500</v>
      </c>
      <c r="AJ16" s="537">
        <f t="shared" si="12"/>
        <v>2500</v>
      </c>
      <c r="AK16" s="486">
        <f t="shared" si="29"/>
        <v>12500</v>
      </c>
      <c r="AL16" s="532">
        <f t="shared" si="13"/>
        <v>0</v>
      </c>
      <c r="AM16" s="533">
        <f t="shared" si="14"/>
        <v>0</v>
      </c>
      <c r="AN16" s="533">
        <f t="shared" si="15"/>
        <v>0</v>
      </c>
      <c r="AO16" s="533">
        <f t="shared" si="16"/>
        <v>0</v>
      </c>
      <c r="AP16" s="585">
        <f t="shared" si="17"/>
        <v>0</v>
      </c>
      <c r="AQ16" s="487">
        <f t="shared" si="30"/>
        <v>0</v>
      </c>
      <c r="AR16" s="485">
        <f>(1-M16)*IDDE!U79</f>
        <v>12500</v>
      </c>
      <c r="AS16" s="559">
        <f t="shared" si="4"/>
        <v>2.8092905384654743E-2</v>
      </c>
      <c r="AT16" s="597">
        <f t="shared" si="5"/>
        <v>1.6187058132760838E-2</v>
      </c>
    </row>
    <row r="17" spans="1:46" ht="15.6" x14ac:dyDescent="0.3">
      <c r="A17" t="s">
        <v>781</v>
      </c>
      <c r="B17" s="452">
        <v>1</v>
      </c>
      <c r="C17" s="452">
        <v>1</v>
      </c>
      <c r="F17" s="488" t="s">
        <v>674</v>
      </c>
      <c r="G17" s="615"/>
      <c r="H17" s="616"/>
      <c r="I17" s="616"/>
      <c r="J17" s="616"/>
      <c r="K17" s="617"/>
      <c r="L17" s="617"/>
      <c r="M17" s="618"/>
      <c r="N17" s="501">
        <f>SUM(N18:N19)</f>
        <v>32</v>
      </c>
      <c r="O17" s="502">
        <f>SUM(O18:O19)</f>
        <v>96</v>
      </c>
      <c r="P17" s="619"/>
      <c r="Q17" s="620"/>
      <c r="R17" s="621"/>
      <c r="S17" s="622"/>
      <c r="T17" s="623"/>
      <c r="U17" s="623"/>
      <c r="V17" s="623"/>
      <c r="W17" s="624"/>
      <c r="X17" s="489">
        <f t="shared" ref="X17:AQ17" si="31">SUM(X18:X19)</f>
        <v>4200</v>
      </c>
      <c r="Y17" s="622"/>
      <c r="Z17" s="623"/>
      <c r="AA17" s="623"/>
      <c r="AB17" s="623"/>
      <c r="AC17" s="624"/>
      <c r="AD17" s="490">
        <f t="shared" si="31"/>
        <v>0</v>
      </c>
      <c r="AE17" s="489">
        <f>SUM(AE18:AE19)</f>
        <v>4200</v>
      </c>
      <c r="AF17" s="622"/>
      <c r="AG17" s="623"/>
      <c r="AH17" s="623"/>
      <c r="AI17" s="623"/>
      <c r="AJ17" s="624"/>
      <c r="AK17" s="489">
        <f t="shared" si="31"/>
        <v>21600</v>
      </c>
      <c r="AL17" s="622"/>
      <c r="AM17" s="623"/>
      <c r="AN17" s="623"/>
      <c r="AO17" s="623"/>
      <c r="AP17" s="624"/>
      <c r="AQ17" s="490">
        <f t="shared" si="31"/>
        <v>0</v>
      </c>
      <c r="AR17" s="491">
        <f>SUM(AR18:AR19)</f>
        <v>21600</v>
      </c>
      <c r="AS17" s="560">
        <f t="shared" si="4"/>
        <v>1.1237162153861897E-2</v>
      </c>
      <c r="AT17" s="515">
        <f t="shared" si="5"/>
        <v>2.7971236453410729E-2</v>
      </c>
    </row>
    <row r="18" spans="1:46" ht="15.6" x14ac:dyDescent="0.3">
      <c r="B18" s="1"/>
      <c r="C18" s="1"/>
      <c r="F18" s="5" t="s">
        <v>675</v>
      </c>
      <c r="G18" s="509" t="s">
        <v>91</v>
      </c>
      <c r="H18" s="495"/>
      <c r="I18" s="495"/>
      <c r="J18" s="495"/>
      <c r="K18" s="510"/>
      <c r="L18" s="513">
        <f t="shared" si="6"/>
        <v>1</v>
      </c>
      <c r="M18" s="573">
        <v>0</v>
      </c>
      <c r="N18" s="507">
        <f>(1-M18)*'Construction Site Control'!T25</f>
        <v>32</v>
      </c>
      <c r="O18" s="508">
        <f>(1-M18)*'Construction Site Control'!U25</f>
        <v>40</v>
      </c>
      <c r="P18" s="566">
        <f t="shared" ref="P18:P19" si="32">1-(Q18+R18)</f>
        <v>1</v>
      </c>
      <c r="Q18" s="496"/>
      <c r="R18" s="498"/>
      <c r="S18" s="532">
        <f t="shared" si="18"/>
        <v>4200</v>
      </c>
      <c r="T18" s="533">
        <f t="shared" si="8"/>
        <v>0</v>
      </c>
      <c r="U18" s="533">
        <f t="shared" si="8"/>
        <v>0</v>
      </c>
      <c r="V18" s="533">
        <f t="shared" si="8"/>
        <v>0</v>
      </c>
      <c r="W18" s="585">
        <f t="shared" si="8"/>
        <v>0</v>
      </c>
      <c r="X18" s="486">
        <f>AE18*P18</f>
        <v>4200</v>
      </c>
      <c r="Y18" s="532">
        <f t="shared" ref="Y18:Y19" si="33">IF(G18="x",$AD18/$L18,0)</f>
        <v>0</v>
      </c>
      <c r="Z18" s="533">
        <f t="shared" ref="Z18:Z19" si="34">IF(H18="x",$AD18/$L18,0)</f>
        <v>0</v>
      </c>
      <c r="AA18" s="533">
        <f t="shared" ref="AA18:AA19" si="35">IF(I18="x",$AD18/$L18,0)</f>
        <v>0</v>
      </c>
      <c r="AB18" s="533">
        <f t="shared" ref="AB18:AB19" si="36">IF(J18="x",$AD18/$L18,0)</f>
        <v>0</v>
      </c>
      <c r="AC18" s="585">
        <f t="shared" ref="AC18:AC19" si="37">IF(K18="x",$AD18/$L18,0)</f>
        <v>0</v>
      </c>
      <c r="AD18" s="487">
        <f>AE18*R18</f>
        <v>0</v>
      </c>
      <c r="AE18" s="486">
        <f>(1-M18)*'Construction Site Control'!R25</f>
        <v>4200</v>
      </c>
      <c r="AF18" s="532">
        <f t="shared" si="9"/>
        <v>6000</v>
      </c>
      <c r="AG18" s="533">
        <f t="shared" si="19"/>
        <v>0</v>
      </c>
      <c r="AH18" s="533">
        <f t="shared" si="10"/>
        <v>0</v>
      </c>
      <c r="AI18" s="533">
        <f t="shared" si="11"/>
        <v>0</v>
      </c>
      <c r="AJ18" s="537">
        <f>IF(K18="x",$AK18/$L18,0)</f>
        <v>0</v>
      </c>
      <c r="AK18" s="486">
        <f>AR18*P18</f>
        <v>6000</v>
      </c>
      <c r="AL18" s="532">
        <f t="shared" si="13"/>
        <v>0</v>
      </c>
      <c r="AM18" s="533">
        <f t="shared" si="14"/>
        <v>0</v>
      </c>
      <c r="AN18" s="533">
        <f t="shared" si="15"/>
        <v>0</v>
      </c>
      <c r="AO18" s="533">
        <f t="shared" si="16"/>
        <v>0</v>
      </c>
      <c r="AP18" s="585">
        <f t="shared" si="17"/>
        <v>0</v>
      </c>
      <c r="AQ18" s="487">
        <f>AR18*R18</f>
        <v>0</v>
      </c>
      <c r="AR18" s="485">
        <f>(1-M18)*'Construction Site Control'!S25</f>
        <v>6000</v>
      </c>
      <c r="AS18" s="559">
        <f t="shared" si="4"/>
        <v>1.1237162153861897E-2</v>
      </c>
      <c r="AT18" s="597">
        <f t="shared" si="5"/>
        <v>7.7697879037252025E-3</v>
      </c>
    </row>
    <row r="19" spans="1:46" ht="15.6" x14ac:dyDescent="0.3">
      <c r="A19" s="488" t="s">
        <v>644</v>
      </c>
      <c r="B19" s="653"/>
      <c r="C19" s="1"/>
      <c r="F19" s="5" t="s">
        <v>679</v>
      </c>
      <c r="G19" s="509" t="s">
        <v>91</v>
      </c>
      <c r="H19" s="495"/>
      <c r="I19" s="495"/>
      <c r="J19" s="495"/>
      <c r="K19" s="510"/>
      <c r="L19" s="513">
        <f t="shared" si="6"/>
        <v>1</v>
      </c>
      <c r="M19" s="573">
        <v>0</v>
      </c>
      <c r="N19" s="507">
        <f>(1-M19)*'Construction Site Control'!T26</f>
        <v>0</v>
      </c>
      <c r="O19" s="508">
        <f>(1-M19)*'Construction Site Control'!U26</f>
        <v>56</v>
      </c>
      <c r="P19" s="566">
        <f t="shared" si="32"/>
        <v>1</v>
      </c>
      <c r="Q19" s="496"/>
      <c r="R19" s="498"/>
      <c r="S19" s="532">
        <f t="shared" si="18"/>
        <v>0</v>
      </c>
      <c r="T19" s="533">
        <f t="shared" si="8"/>
        <v>0</v>
      </c>
      <c r="U19" s="533">
        <f t="shared" si="8"/>
        <v>0</v>
      </c>
      <c r="V19" s="533">
        <f t="shared" si="8"/>
        <v>0</v>
      </c>
      <c r="W19" s="585">
        <f t="shared" si="8"/>
        <v>0</v>
      </c>
      <c r="X19" s="486">
        <f>AE19*P19</f>
        <v>0</v>
      </c>
      <c r="Y19" s="532">
        <f t="shared" si="33"/>
        <v>0</v>
      </c>
      <c r="Z19" s="533">
        <f t="shared" si="34"/>
        <v>0</v>
      </c>
      <c r="AA19" s="533">
        <f t="shared" si="35"/>
        <v>0</v>
      </c>
      <c r="AB19" s="533">
        <f t="shared" si="36"/>
        <v>0</v>
      </c>
      <c r="AC19" s="585">
        <f t="shared" si="37"/>
        <v>0</v>
      </c>
      <c r="AD19" s="487">
        <f>AE19*R19</f>
        <v>0</v>
      </c>
      <c r="AE19" s="486">
        <f>(1-M19)*'Construction Site Control'!R26</f>
        <v>0</v>
      </c>
      <c r="AF19" s="532">
        <f t="shared" si="9"/>
        <v>15600</v>
      </c>
      <c r="AG19" s="533">
        <f t="shared" si="19"/>
        <v>0</v>
      </c>
      <c r="AH19" s="533">
        <f t="shared" si="10"/>
        <v>0</v>
      </c>
      <c r="AI19" s="533">
        <f t="shared" si="11"/>
        <v>0</v>
      </c>
      <c r="AJ19" s="537">
        <f t="shared" si="12"/>
        <v>0</v>
      </c>
      <c r="AK19" s="486">
        <f>AR19*P19</f>
        <v>15600</v>
      </c>
      <c r="AL19" s="532">
        <f t="shared" si="13"/>
        <v>0</v>
      </c>
      <c r="AM19" s="533">
        <f>IF(H19="x",$AQ19/$L19,0)</f>
        <v>0</v>
      </c>
      <c r="AN19" s="533">
        <f t="shared" si="15"/>
        <v>0</v>
      </c>
      <c r="AO19" s="533">
        <f t="shared" si="16"/>
        <v>0</v>
      </c>
      <c r="AP19" s="585">
        <f t="shared" si="17"/>
        <v>0</v>
      </c>
      <c r="AQ19" s="487">
        <f>AR19*R19</f>
        <v>0</v>
      </c>
      <c r="AR19" s="485">
        <f>(1-M19)*'Construction Site Control'!S26</f>
        <v>15600</v>
      </c>
      <c r="AS19" s="559">
        <f t="shared" si="4"/>
        <v>0</v>
      </c>
      <c r="AT19" s="597">
        <f t="shared" si="5"/>
        <v>2.0201448549685527E-2</v>
      </c>
    </row>
    <row r="20" spans="1:46" ht="15.6" x14ac:dyDescent="0.3">
      <c r="A20" t="s">
        <v>778</v>
      </c>
      <c r="B20" s="452">
        <v>1</v>
      </c>
      <c r="C20" s="452">
        <v>1</v>
      </c>
      <c r="F20" s="488" t="s">
        <v>676</v>
      </c>
      <c r="G20" s="615"/>
      <c r="H20" s="616"/>
      <c r="I20" s="616"/>
      <c r="J20" s="616"/>
      <c r="K20" s="617"/>
      <c r="L20" s="617"/>
      <c r="M20" s="618"/>
      <c r="N20" s="501">
        <f>SUM(N21:N23)</f>
        <v>622</v>
      </c>
      <c r="O20" s="502">
        <f>SUM(O21:O23)</f>
        <v>764</v>
      </c>
      <c r="P20" s="619"/>
      <c r="Q20" s="620"/>
      <c r="R20" s="621"/>
      <c r="S20" s="622"/>
      <c r="T20" s="623"/>
      <c r="U20" s="623"/>
      <c r="V20" s="623"/>
      <c r="W20" s="624"/>
      <c r="X20" s="489">
        <f t="shared" ref="X20:AQ20" si="38">SUM(X21:X23)</f>
        <v>65200</v>
      </c>
      <c r="Y20" s="622"/>
      <c r="Z20" s="623"/>
      <c r="AA20" s="623"/>
      <c r="AB20" s="623"/>
      <c r="AC20" s="624"/>
      <c r="AD20" s="490">
        <f t="shared" si="38"/>
        <v>0</v>
      </c>
      <c r="AE20" s="489">
        <f>SUM(AE21:AE23)</f>
        <v>65200</v>
      </c>
      <c r="AF20" s="622"/>
      <c r="AG20" s="623"/>
      <c r="AH20" s="623"/>
      <c r="AI20" s="623"/>
      <c r="AJ20" s="624"/>
      <c r="AK20" s="489">
        <f t="shared" si="38"/>
        <v>82400</v>
      </c>
      <c r="AL20" s="622"/>
      <c r="AM20" s="623"/>
      <c r="AN20" s="623"/>
      <c r="AO20" s="623"/>
      <c r="AP20" s="624"/>
      <c r="AQ20" s="490">
        <f t="shared" si="38"/>
        <v>0</v>
      </c>
      <c r="AR20" s="491">
        <f>SUM(AR21:AR23)</f>
        <v>82400</v>
      </c>
      <c r="AS20" s="560">
        <f t="shared" si="4"/>
        <v>0.17444356486471327</v>
      </c>
      <c r="AT20" s="515">
        <f t="shared" si="5"/>
        <v>0.10670508721115944</v>
      </c>
    </row>
    <row r="21" spans="1:46" ht="15.6" x14ac:dyDescent="0.3">
      <c r="F21" s="5" t="s">
        <v>677</v>
      </c>
      <c r="G21" s="509"/>
      <c r="H21" s="495" t="s">
        <v>91</v>
      </c>
      <c r="I21" s="495"/>
      <c r="J21" s="495"/>
      <c r="K21" s="510"/>
      <c r="L21" s="513">
        <f t="shared" si="6"/>
        <v>1</v>
      </c>
      <c r="M21" s="573">
        <v>0</v>
      </c>
      <c r="N21" s="507">
        <f>(1-M21)*SUM('Post Construction Site Control'!T18:T19)</f>
        <v>40</v>
      </c>
      <c r="O21" s="508">
        <f>(1-M21)*SUM('Post Construction Site Control'!U18:U19)</f>
        <v>80</v>
      </c>
      <c r="P21" s="566">
        <f t="shared" ref="P21:P23" si="39">1-(Q21+R21)</f>
        <v>1</v>
      </c>
      <c r="Q21" s="496"/>
      <c r="R21" s="498"/>
      <c r="S21" s="532">
        <f t="shared" si="18"/>
        <v>0</v>
      </c>
      <c r="T21" s="533">
        <f>IF(H21="x",$X21/$L21,0)</f>
        <v>6000</v>
      </c>
      <c r="U21" s="533">
        <f t="shared" si="8"/>
        <v>0</v>
      </c>
      <c r="V21" s="533">
        <f t="shared" si="8"/>
        <v>0</v>
      </c>
      <c r="W21" s="585">
        <f t="shared" si="8"/>
        <v>0</v>
      </c>
      <c r="X21" s="486">
        <f>AE21*P21</f>
        <v>6000</v>
      </c>
      <c r="Y21" s="532">
        <f t="shared" ref="Y21:Y23" si="40">IF(G21="x",$AD21/$L21,0)</f>
        <v>0</v>
      </c>
      <c r="Z21" s="533">
        <f t="shared" ref="Z21:Z23" si="41">IF(H21="x",$AD21/$L21,0)</f>
        <v>0</v>
      </c>
      <c r="AA21" s="533">
        <f t="shared" ref="AA21:AA23" si="42">IF(I21="x",$AD21/$L21,0)</f>
        <v>0</v>
      </c>
      <c r="AB21" s="533">
        <f t="shared" ref="AB21:AB23" si="43">IF(J21="x",$AD21/$L21,0)</f>
        <v>0</v>
      </c>
      <c r="AC21" s="585">
        <f t="shared" ref="AC21:AC23" si="44">IF(K21="x",$AD21/$L21,0)</f>
        <v>0</v>
      </c>
      <c r="AD21" s="487">
        <f>AE21*R21</f>
        <v>0</v>
      </c>
      <c r="AE21" s="486">
        <f>(1-M21)*SUM('Post Construction Site Control'!R18:R19)</f>
        <v>6000</v>
      </c>
      <c r="AF21" s="532">
        <f t="shared" si="9"/>
        <v>0</v>
      </c>
      <c r="AG21" s="533">
        <f t="shared" si="19"/>
        <v>12000</v>
      </c>
      <c r="AH21" s="533">
        <f t="shared" si="10"/>
        <v>0</v>
      </c>
      <c r="AI21" s="533">
        <f t="shared" si="11"/>
        <v>0</v>
      </c>
      <c r="AJ21" s="537">
        <f t="shared" si="12"/>
        <v>0</v>
      </c>
      <c r="AK21" s="486">
        <f>AR21*P21</f>
        <v>12000</v>
      </c>
      <c r="AL21" s="532">
        <f t="shared" si="13"/>
        <v>0</v>
      </c>
      <c r="AM21" s="533">
        <f t="shared" si="14"/>
        <v>0</v>
      </c>
      <c r="AN21" s="533">
        <f t="shared" si="15"/>
        <v>0</v>
      </c>
      <c r="AO21" s="533">
        <f t="shared" si="16"/>
        <v>0</v>
      </c>
      <c r="AP21" s="585">
        <f t="shared" si="17"/>
        <v>0</v>
      </c>
      <c r="AQ21" s="487">
        <f>AR21*R21</f>
        <v>0</v>
      </c>
      <c r="AR21" s="485">
        <f>(1-M21)*SUM('Post Construction Site Control'!S18:S19)</f>
        <v>12000</v>
      </c>
      <c r="AS21" s="559">
        <f t="shared" si="4"/>
        <v>1.6053088791231282E-2</v>
      </c>
      <c r="AT21" s="597">
        <f t="shared" si="5"/>
        <v>1.5539575807450405E-2</v>
      </c>
    </row>
    <row r="22" spans="1:46" ht="15.6" x14ac:dyDescent="0.3">
      <c r="A22" s="488" t="s">
        <v>646</v>
      </c>
      <c r="F22" s="5" t="s">
        <v>680</v>
      </c>
      <c r="G22" s="509"/>
      <c r="H22" s="495"/>
      <c r="I22" s="495"/>
      <c r="J22" s="495" t="s">
        <v>91</v>
      </c>
      <c r="K22" s="510"/>
      <c r="L22" s="513">
        <f t="shared" si="6"/>
        <v>1</v>
      </c>
      <c r="M22" s="573">
        <v>0</v>
      </c>
      <c r="N22" s="507">
        <f>(1-M22)*'Post Construction Site Control'!T22</f>
        <v>62</v>
      </c>
      <c r="O22" s="508">
        <f>(1-M22)*'Post Construction Site Control'!U22</f>
        <v>116</v>
      </c>
      <c r="P22" s="566">
        <f t="shared" si="39"/>
        <v>1</v>
      </c>
      <c r="Q22" s="496"/>
      <c r="R22" s="498"/>
      <c r="S22" s="532">
        <f t="shared" si="18"/>
        <v>0</v>
      </c>
      <c r="T22" s="533">
        <f t="shared" ref="T22:T32" si="45">IF(H22="x",$X22/$L22,0)</f>
        <v>0</v>
      </c>
      <c r="U22" s="533">
        <f t="shared" ref="U22:U32" si="46">IF(I22="x",$X22/$L22,0)</f>
        <v>0</v>
      </c>
      <c r="V22" s="533">
        <f t="shared" ref="V22:V32" si="47">IF(J22="x",$X22/$L22,0)</f>
        <v>7200</v>
      </c>
      <c r="W22" s="585">
        <f t="shared" ref="W22:W32" si="48">IF(K22="x",$X22/$L22,0)</f>
        <v>0</v>
      </c>
      <c r="X22" s="486">
        <f>AE22*P22</f>
        <v>7200</v>
      </c>
      <c r="Y22" s="532">
        <f t="shared" si="40"/>
        <v>0</v>
      </c>
      <c r="Z22" s="533">
        <f t="shared" si="41"/>
        <v>0</v>
      </c>
      <c r="AA22" s="533">
        <f t="shared" si="42"/>
        <v>0</v>
      </c>
      <c r="AB22" s="533">
        <f t="shared" si="43"/>
        <v>0</v>
      </c>
      <c r="AC22" s="585">
        <f t="shared" si="44"/>
        <v>0</v>
      </c>
      <c r="AD22" s="487">
        <f>AE22*R22</f>
        <v>0</v>
      </c>
      <c r="AE22" s="486">
        <f>(1-M22)*'Post Construction Site Control'!R22</f>
        <v>7200</v>
      </c>
      <c r="AF22" s="532">
        <f t="shared" si="9"/>
        <v>0</v>
      </c>
      <c r="AG22" s="533">
        <f t="shared" si="19"/>
        <v>0</v>
      </c>
      <c r="AH22" s="533">
        <f t="shared" si="10"/>
        <v>0</v>
      </c>
      <c r="AI22" s="533">
        <f t="shared" si="11"/>
        <v>13600</v>
      </c>
      <c r="AJ22" s="537">
        <f t="shared" si="12"/>
        <v>0</v>
      </c>
      <c r="AK22" s="486">
        <f>AR22*P22</f>
        <v>13600</v>
      </c>
      <c r="AL22" s="532">
        <f t="shared" si="13"/>
        <v>0</v>
      </c>
      <c r="AM22" s="533">
        <f t="shared" si="14"/>
        <v>0</v>
      </c>
      <c r="AN22" s="533">
        <f t="shared" si="15"/>
        <v>0</v>
      </c>
      <c r="AO22" s="533">
        <f t="shared" si="16"/>
        <v>0</v>
      </c>
      <c r="AP22" s="585">
        <f t="shared" si="17"/>
        <v>0</v>
      </c>
      <c r="AQ22" s="487">
        <f>AR22*R22</f>
        <v>0</v>
      </c>
      <c r="AR22" s="485">
        <f>(1-M22)*'Post Construction Site Control'!S22</f>
        <v>13600</v>
      </c>
      <c r="AS22" s="559">
        <f t="shared" si="4"/>
        <v>1.9263706549477538E-2</v>
      </c>
      <c r="AT22" s="597">
        <f t="shared" si="5"/>
        <v>1.7611519248443792E-2</v>
      </c>
    </row>
    <row r="23" spans="1:46" ht="15.6" x14ac:dyDescent="0.3">
      <c r="A23" t="s">
        <v>647</v>
      </c>
      <c r="B23" s="676">
        <v>65</v>
      </c>
      <c r="C23" s="676"/>
      <c r="F23" s="5" t="s">
        <v>678</v>
      </c>
      <c r="G23" s="509"/>
      <c r="H23" s="495"/>
      <c r="I23" s="495"/>
      <c r="J23" s="495" t="s">
        <v>91</v>
      </c>
      <c r="K23" s="510"/>
      <c r="L23" s="513">
        <f t="shared" si="6"/>
        <v>1</v>
      </c>
      <c r="M23" s="573">
        <v>0</v>
      </c>
      <c r="N23" s="507">
        <f>(1-M23)*'Post Construction Site Control'!T30</f>
        <v>520</v>
      </c>
      <c r="O23" s="508">
        <f>(1-M23)*'Post Construction Site Control'!U30</f>
        <v>568</v>
      </c>
      <c r="P23" s="566">
        <f t="shared" si="39"/>
        <v>1</v>
      </c>
      <c r="Q23" s="496"/>
      <c r="R23" s="498"/>
      <c r="S23" s="532">
        <f t="shared" si="18"/>
        <v>0</v>
      </c>
      <c r="T23" s="533">
        <f t="shared" si="45"/>
        <v>0</v>
      </c>
      <c r="U23" s="533">
        <f t="shared" si="46"/>
        <v>0</v>
      </c>
      <c r="V23" s="533">
        <f t="shared" si="47"/>
        <v>52000</v>
      </c>
      <c r="W23" s="585">
        <f>IF(K23="x",$X23/$L23,0)</f>
        <v>0</v>
      </c>
      <c r="X23" s="486">
        <f>AE23*P23</f>
        <v>52000</v>
      </c>
      <c r="Y23" s="532">
        <f t="shared" si="40"/>
        <v>0</v>
      </c>
      <c r="Z23" s="533">
        <f t="shared" si="41"/>
        <v>0</v>
      </c>
      <c r="AA23" s="533">
        <f t="shared" si="42"/>
        <v>0</v>
      </c>
      <c r="AB23" s="533">
        <f t="shared" si="43"/>
        <v>0</v>
      </c>
      <c r="AC23" s="585">
        <f t="shared" si="44"/>
        <v>0</v>
      </c>
      <c r="AD23" s="487">
        <f>AE23*R23</f>
        <v>0</v>
      </c>
      <c r="AE23" s="486">
        <f>(1-M23)*'Post Construction Site Control'!R30</f>
        <v>52000</v>
      </c>
      <c r="AF23" s="532">
        <f t="shared" si="9"/>
        <v>0</v>
      </c>
      <c r="AG23" s="533">
        <f t="shared" si="19"/>
        <v>0</v>
      </c>
      <c r="AH23" s="533">
        <f t="shared" si="10"/>
        <v>0</v>
      </c>
      <c r="AI23" s="533">
        <f t="shared" si="11"/>
        <v>56800</v>
      </c>
      <c r="AJ23" s="537">
        <f t="shared" si="12"/>
        <v>0</v>
      </c>
      <c r="AK23" s="486">
        <f>AR23*P23</f>
        <v>56800</v>
      </c>
      <c r="AL23" s="532">
        <f t="shared" si="13"/>
        <v>0</v>
      </c>
      <c r="AM23" s="533">
        <f t="shared" si="14"/>
        <v>0</v>
      </c>
      <c r="AN23" s="533">
        <f t="shared" si="15"/>
        <v>0</v>
      </c>
      <c r="AO23" s="533">
        <f t="shared" si="16"/>
        <v>0</v>
      </c>
      <c r="AP23" s="585">
        <f t="shared" si="17"/>
        <v>0</v>
      </c>
      <c r="AQ23" s="487">
        <f>AR23*R23</f>
        <v>0</v>
      </c>
      <c r="AR23" s="485">
        <f>(1-M23)*'Post Construction Site Control'!S30</f>
        <v>56800</v>
      </c>
      <c r="AS23" s="559">
        <f t="shared" si="4"/>
        <v>0.13912676952400443</v>
      </c>
      <c r="AT23" s="597">
        <f t="shared" si="5"/>
        <v>7.3553992155265244E-2</v>
      </c>
    </row>
    <row r="24" spans="1:46" ht="15.6" x14ac:dyDescent="0.3">
      <c r="F24" s="488" t="s">
        <v>681</v>
      </c>
      <c r="G24" s="615"/>
      <c r="H24" s="616"/>
      <c r="I24" s="616"/>
      <c r="J24" s="616"/>
      <c r="K24" s="617"/>
      <c r="L24" s="617"/>
      <c r="M24" s="618"/>
      <c r="N24" s="501">
        <f>SUM(N25:N31)</f>
        <v>581</v>
      </c>
      <c r="O24" s="502">
        <f>SUM(O25:O31)</f>
        <v>782</v>
      </c>
      <c r="P24" s="619"/>
      <c r="Q24" s="620"/>
      <c r="R24" s="621"/>
      <c r="S24" s="622"/>
      <c r="T24" s="623"/>
      <c r="U24" s="623"/>
      <c r="V24" s="623"/>
      <c r="W24" s="624"/>
      <c r="X24" s="489">
        <f t="shared" ref="X24:AQ24" si="49">SUM(X25:X31)</f>
        <v>138100</v>
      </c>
      <c r="Y24" s="622"/>
      <c r="Z24" s="623"/>
      <c r="AA24" s="623"/>
      <c r="AB24" s="623"/>
      <c r="AC24" s="624"/>
      <c r="AD24" s="490">
        <f t="shared" si="49"/>
        <v>0</v>
      </c>
      <c r="AE24" s="489">
        <f>SUM(AE25:AE31)</f>
        <v>138100</v>
      </c>
      <c r="AF24" s="622"/>
      <c r="AG24" s="623"/>
      <c r="AH24" s="623"/>
      <c r="AI24" s="623"/>
      <c r="AJ24" s="624"/>
      <c r="AK24" s="489">
        <f t="shared" si="49"/>
        <v>215700</v>
      </c>
      <c r="AL24" s="622"/>
      <c r="AM24" s="623"/>
      <c r="AN24" s="623"/>
      <c r="AO24" s="623"/>
      <c r="AP24" s="624"/>
      <c r="AQ24" s="490">
        <f t="shared" si="49"/>
        <v>0</v>
      </c>
      <c r="AR24" s="491">
        <f>SUM(AR25:AR31)</f>
        <v>215700</v>
      </c>
      <c r="AS24" s="560">
        <f t="shared" si="4"/>
        <v>0.36948859367817333</v>
      </c>
      <c r="AT24" s="515">
        <f t="shared" si="5"/>
        <v>0.27932387513892104</v>
      </c>
    </row>
    <row r="25" spans="1:46" ht="15.6" x14ac:dyDescent="0.3">
      <c r="A25" s="488" t="s">
        <v>648</v>
      </c>
      <c r="F25" s="5" t="s">
        <v>691</v>
      </c>
      <c r="G25" s="521"/>
      <c r="H25" s="497" t="s">
        <v>91</v>
      </c>
      <c r="I25" s="497"/>
      <c r="J25" s="497"/>
      <c r="K25" s="522"/>
      <c r="L25" s="513">
        <f t="shared" si="6"/>
        <v>1</v>
      </c>
      <c r="M25" s="573">
        <v>0</v>
      </c>
      <c r="N25" s="507">
        <f>(1-M25)*SUM('Good Housekeeping'!T37:T38,'Good Housekeeping'!T42,'Good Housekeeping'!T51,'Good Housekeeping'!T58,'Good Housekeeping'!T61)</f>
        <v>344</v>
      </c>
      <c r="O25" s="508">
        <f>(1-M25)*SUM('Good Housekeeping'!U37:U38,'Good Housekeeping'!U42,'Good Housekeeping'!U51,'Good Housekeeping'!U58,'Good Housekeeping'!U61)</f>
        <v>388</v>
      </c>
      <c r="P25" s="566">
        <f t="shared" ref="P25:P31" si="50">1-(Q25+R25)</f>
        <v>1</v>
      </c>
      <c r="Q25" s="496"/>
      <c r="R25" s="498"/>
      <c r="S25" s="532">
        <f t="shared" si="18"/>
        <v>0</v>
      </c>
      <c r="T25" s="533">
        <f t="shared" si="45"/>
        <v>34400</v>
      </c>
      <c r="U25" s="533">
        <f t="shared" si="46"/>
        <v>0</v>
      </c>
      <c r="V25" s="533">
        <f t="shared" si="47"/>
        <v>0</v>
      </c>
      <c r="W25" s="585">
        <f t="shared" si="48"/>
        <v>0</v>
      </c>
      <c r="X25" s="486">
        <f t="shared" ref="X25:X31" si="51">AE25*P25</f>
        <v>34400</v>
      </c>
      <c r="Y25" s="532">
        <f t="shared" ref="Y25:Y31" si="52">IF(G25="x",$AD25/$L25,0)</f>
        <v>0</v>
      </c>
      <c r="Z25" s="533">
        <f t="shared" ref="Z25:Z31" si="53">IF(H25="x",$AD25/$L25,0)</f>
        <v>0</v>
      </c>
      <c r="AA25" s="533">
        <f t="shared" ref="AA25:AA31" si="54">IF(I25="x",$AD25/$L25,0)</f>
        <v>0</v>
      </c>
      <c r="AB25" s="533">
        <f t="shared" ref="AB25:AB31" si="55">IF(J25="x",$AD25/$L25,0)</f>
        <v>0</v>
      </c>
      <c r="AC25" s="585">
        <f t="shared" ref="AC25:AC31" si="56">IF(K25="x",$AD25/$L25,0)</f>
        <v>0</v>
      </c>
      <c r="AD25" s="487">
        <f t="shared" ref="AD25:AD32" si="57">AE25*R25</f>
        <v>0</v>
      </c>
      <c r="AE25" s="486">
        <f>(1-M25)*SUM('Good Housekeeping'!R37:R38,'Good Housekeeping'!R42,'Good Housekeeping'!R51,'Good Housekeeping'!R58,'Good Housekeeping'!R61)</f>
        <v>34400</v>
      </c>
      <c r="AF25" s="532">
        <f t="shared" si="9"/>
        <v>0</v>
      </c>
      <c r="AG25" s="533">
        <f t="shared" si="19"/>
        <v>38800</v>
      </c>
      <c r="AH25" s="533">
        <f t="shared" si="10"/>
        <v>0</v>
      </c>
      <c r="AI25" s="533">
        <f t="shared" si="11"/>
        <v>0</v>
      </c>
      <c r="AJ25" s="537">
        <f t="shared" si="12"/>
        <v>0</v>
      </c>
      <c r="AK25" s="486">
        <f t="shared" ref="AK25:AK32" si="58">AR25*P25</f>
        <v>38800</v>
      </c>
      <c r="AL25" s="532">
        <f t="shared" si="13"/>
        <v>0</v>
      </c>
      <c r="AM25" s="533">
        <f t="shared" si="14"/>
        <v>0</v>
      </c>
      <c r="AN25" s="533">
        <f t="shared" si="15"/>
        <v>0</v>
      </c>
      <c r="AO25" s="533">
        <f t="shared" si="16"/>
        <v>0</v>
      </c>
      <c r="AP25" s="585">
        <f t="shared" si="17"/>
        <v>0</v>
      </c>
      <c r="AQ25" s="487">
        <f t="shared" ref="AQ25:AQ32" si="59">AR25*R25</f>
        <v>0</v>
      </c>
      <c r="AR25" s="485">
        <f>(1-M25)*SUM('Good Housekeeping'!S37:S38,'Good Housekeeping'!S42,'Good Housekeeping'!S51,'Good Housekeeping'!S58,'Good Housekeeping'!S61)</f>
        <v>38800</v>
      </c>
      <c r="AS25" s="559">
        <f t="shared" si="4"/>
        <v>9.2037709069726012E-2</v>
      </c>
      <c r="AT25" s="597">
        <f t="shared" si="5"/>
        <v>5.024462844408964E-2</v>
      </c>
    </row>
    <row r="26" spans="1:46" ht="15.6" x14ac:dyDescent="0.3">
      <c r="A26" t="s">
        <v>649</v>
      </c>
      <c r="B26" s="676">
        <v>3</v>
      </c>
      <c r="C26" s="676"/>
      <c r="F26" s="5" t="s">
        <v>682</v>
      </c>
      <c r="G26" s="521"/>
      <c r="H26" s="497" t="s">
        <v>91</v>
      </c>
      <c r="I26" s="497"/>
      <c r="J26" s="497"/>
      <c r="K26" s="522"/>
      <c r="L26" s="513">
        <f t="shared" si="6"/>
        <v>1</v>
      </c>
      <c r="M26" s="573">
        <v>0</v>
      </c>
      <c r="N26" s="507">
        <f>(1-M26)*SUM('Good Housekeeping'!T61:T62)</f>
        <v>57</v>
      </c>
      <c r="O26" s="508">
        <f>(1-M26)*SUM('Good Housekeeping'!U61:U62)</f>
        <v>84</v>
      </c>
      <c r="P26" s="566">
        <f t="shared" si="50"/>
        <v>1</v>
      </c>
      <c r="Q26" s="496"/>
      <c r="R26" s="498"/>
      <c r="S26" s="532">
        <f t="shared" si="18"/>
        <v>0</v>
      </c>
      <c r="T26" s="533">
        <f t="shared" si="45"/>
        <v>5700</v>
      </c>
      <c r="U26" s="533">
        <f t="shared" si="46"/>
        <v>0</v>
      </c>
      <c r="V26" s="533">
        <f t="shared" si="47"/>
        <v>0</v>
      </c>
      <c r="W26" s="585">
        <f t="shared" si="48"/>
        <v>0</v>
      </c>
      <c r="X26" s="486">
        <f t="shared" si="51"/>
        <v>5700</v>
      </c>
      <c r="Y26" s="532">
        <f t="shared" si="52"/>
        <v>0</v>
      </c>
      <c r="Z26" s="533">
        <f t="shared" si="53"/>
        <v>0</v>
      </c>
      <c r="AA26" s="533">
        <f t="shared" si="54"/>
        <v>0</v>
      </c>
      <c r="AB26" s="533">
        <f t="shared" si="55"/>
        <v>0</v>
      </c>
      <c r="AC26" s="585">
        <f t="shared" si="56"/>
        <v>0</v>
      </c>
      <c r="AD26" s="487">
        <f t="shared" si="57"/>
        <v>0</v>
      </c>
      <c r="AE26" s="486">
        <f>(1-M26)*SUM('Good Housekeeping'!R61:R62)</f>
        <v>5700</v>
      </c>
      <c r="AF26" s="532">
        <f t="shared" si="9"/>
        <v>0</v>
      </c>
      <c r="AG26" s="533">
        <f t="shared" si="19"/>
        <v>8400</v>
      </c>
      <c r="AH26" s="533">
        <f t="shared" si="10"/>
        <v>0</v>
      </c>
      <c r="AI26" s="533">
        <f t="shared" si="11"/>
        <v>0</v>
      </c>
      <c r="AJ26" s="537">
        <f t="shared" si="12"/>
        <v>0</v>
      </c>
      <c r="AK26" s="486">
        <f t="shared" si="58"/>
        <v>8400</v>
      </c>
      <c r="AL26" s="532">
        <f t="shared" si="13"/>
        <v>0</v>
      </c>
      <c r="AM26" s="533">
        <f t="shared" si="14"/>
        <v>0</v>
      </c>
      <c r="AN26" s="533">
        <f t="shared" si="15"/>
        <v>0</v>
      </c>
      <c r="AO26" s="533">
        <f t="shared" si="16"/>
        <v>0</v>
      </c>
      <c r="AP26" s="585">
        <f t="shared" si="17"/>
        <v>0</v>
      </c>
      <c r="AQ26" s="487">
        <f t="shared" si="59"/>
        <v>0</v>
      </c>
      <c r="AR26" s="485">
        <f>(1-M26)*SUM('Good Housekeeping'!S61:S62)</f>
        <v>8400</v>
      </c>
      <c r="AS26" s="559">
        <f t="shared" si="4"/>
        <v>1.5250434351669718E-2</v>
      </c>
      <c r="AT26" s="597">
        <f t="shared" si="5"/>
        <v>1.0877703065215284E-2</v>
      </c>
    </row>
    <row r="27" spans="1:46" ht="15.6" x14ac:dyDescent="0.3">
      <c r="A27" t="s">
        <v>779</v>
      </c>
      <c r="B27" s="452">
        <v>3</v>
      </c>
      <c r="C27" s="452">
        <v>3</v>
      </c>
      <c r="F27" s="5" t="s">
        <v>683</v>
      </c>
      <c r="G27" s="521"/>
      <c r="H27" s="497" t="s">
        <v>91</v>
      </c>
      <c r="I27" s="497"/>
      <c r="J27" s="497"/>
      <c r="K27" s="522"/>
      <c r="L27" s="513">
        <f t="shared" si="6"/>
        <v>1</v>
      </c>
      <c r="M27" s="573">
        <v>0</v>
      </c>
      <c r="N27" s="507">
        <f>(1-M27)*'Good Housekeeping'!T66</f>
        <v>0</v>
      </c>
      <c r="O27" s="508">
        <f>(1-M27)*'Good Housekeeping'!U66</f>
        <v>0</v>
      </c>
      <c r="P27" s="566">
        <f t="shared" si="50"/>
        <v>1</v>
      </c>
      <c r="Q27" s="496"/>
      <c r="R27" s="498"/>
      <c r="S27" s="532">
        <f t="shared" si="18"/>
        <v>0</v>
      </c>
      <c r="T27" s="533">
        <f t="shared" si="45"/>
        <v>15000</v>
      </c>
      <c r="U27" s="533">
        <f t="shared" si="46"/>
        <v>0</v>
      </c>
      <c r="V27" s="533">
        <f>IF(J27="x",$X27/$L27,0)</f>
        <v>0</v>
      </c>
      <c r="W27" s="585">
        <f t="shared" si="48"/>
        <v>0</v>
      </c>
      <c r="X27" s="486">
        <f t="shared" si="51"/>
        <v>15000</v>
      </c>
      <c r="Y27" s="532">
        <f t="shared" si="52"/>
        <v>0</v>
      </c>
      <c r="Z27" s="533">
        <f t="shared" si="53"/>
        <v>0</v>
      </c>
      <c r="AA27" s="533">
        <f t="shared" si="54"/>
        <v>0</v>
      </c>
      <c r="AB27" s="533">
        <f t="shared" si="55"/>
        <v>0</v>
      </c>
      <c r="AC27" s="585">
        <f t="shared" si="56"/>
        <v>0</v>
      </c>
      <c r="AD27" s="487">
        <f t="shared" si="57"/>
        <v>0</v>
      </c>
      <c r="AE27" s="486">
        <f>(1-M27)*'Good Housekeeping'!R66</f>
        <v>15000</v>
      </c>
      <c r="AF27" s="532">
        <f t="shared" si="9"/>
        <v>0</v>
      </c>
      <c r="AG27" s="533">
        <f t="shared" si="19"/>
        <v>15000</v>
      </c>
      <c r="AH27" s="533">
        <f t="shared" si="10"/>
        <v>0</v>
      </c>
      <c r="AI27" s="533">
        <f>IF(J27="x",$AK27/$L27,0)</f>
        <v>0</v>
      </c>
      <c r="AJ27" s="537">
        <f t="shared" si="12"/>
        <v>0</v>
      </c>
      <c r="AK27" s="486">
        <f t="shared" si="58"/>
        <v>15000</v>
      </c>
      <c r="AL27" s="532">
        <f t="shared" si="13"/>
        <v>0</v>
      </c>
      <c r="AM27" s="533">
        <f t="shared" si="14"/>
        <v>0</v>
      </c>
      <c r="AN27" s="533">
        <f t="shared" si="15"/>
        <v>0</v>
      </c>
      <c r="AO27" s="533">
        <f t="shared" si="16"/>
        <v>0</v>
      </c>
      <c r="AP27" s="585">
        <f t="shared" si="17"/>
        <v>0</v>
      </c>
      <c r="AQ27" s="487">
        <f t="shared" si="59"/>
        <v>0</v>
      </c>
      <c r="AR27" s="485">
        <f>(1-M27)*'Good Housekeeping'!S66</f>
        <v>15000</v>
      </c>
      <c r="AS27" s="559">
        <f t="shared" si="4"/>
        <v>4.0132721978078205E-2</v>
      </c>
      <c r="AT27" s="597">
        <f t="shared" si="5"/>
        <v>1.9424469759313005E-2</v>
      </c>
    </row>
    <row r="28" spans="1:46" ht="16.2" thickBot="1" x14ac:dyDescent="0.35">
      <c r="A28" t="s">
        <v>685</v>
      </c>
      <c r="B28" s="687" t="s">
        <v>773</v>
      </c>
      <c r="C28" s="687"/>
      <c r="F28" s="5" t="s">
        <v>684</v>
      </c>
      <c r="G28" s="521"/>
      <c r="H28" s="497" t="s">
        <v>91</v>
      </c>
      <c r="I28" s="497" t="s">
        <v>91</v>
      </c>
      <c r="J28" s="497" t="s">
        <v>91</v>
      </c>
      <c r="K28" s="522" t="s">
        <v>91</v>
      </c>
      <c r="L28" s="513">
        <f t="shared" si="6"/>
        <v>4</v>
      </c>
      <c r="M28" s="573">
        <v>0</v>
      </c>
      <c r="N28" s="507">
        <f>(1-M28)*'Good Housekeeping'!T69</f>
        <v>120</v>
      </c>
      <c r="O28" s="508">
        <f>(1-M28)*'Good Housekeeping'!U69</f>
        <v>240</v>
      </c>
      <c r="P28" s="566">
        <f t="shared" si="50"/>
        <v>1</v>
      </c>
      <c r="Q28" s="496"/>
      <c r="R28" s="498"/>
      <c r="S28" s="532">
        <f t="shared" si="18"/>
        <v>0</v>
      </c>
      <c r="T28" s="533">
        <f t="shared" si="45"/>
        <v>6750</v>
      </c>
      <c r="U28" s="533">
        <f t="shared" si="46"/>
        <v>6750</v>
      </c>
      <c r="V28" s="533">
        <f>IF(J28="x",$X28/$L28,0)</f>
        <v>6750</v>
      </c>
      <c r="W28" s="585">
        <f t="shared" si="48"/>
        <v>6750</v>
      </c>
      <c r="X28" s="486">
        <f t="shared" si="51"/>
        <v>27000</v>
      </c>
      <c r="Y28" s="532">
        <f t="shared" si="52"/>
        <v>0</v>
      </c>
      <c r="Z28" s="533">
        <f t="shared" si="53"/>
        <v>0</v>
      </c>
      <c r="AA28" s="533">
        <f t="shared" si="54"/>
        <v>0</v>
      </c>
      <c r="AB28" s="533">
        <f t="shared" si="55"/>
        <v>0</v>
      </c>
      <c r="AC28" s="585">
        <f t="shared" si="56"/>
        <v>0</v>
      </c>
      <c r="AD28" s="487">
        <f t="shared" si="57"/>
        <v>0</v>
      </c>
      <c r="AE28" s="486">
        <f>(1-M28)*SUM('Good Housekeeping'!R69,'Good Housekeeping'!R67)</f>
        <v>27000</v>
      </c>
      <c r="AF28" s="532">
        <f t="shared" si="9"/>
        <v>0</v>
      </c>
      <c r="AG28" s="533">
        <f t="shared" si="19"/>
        <v>11625</v>
      </c>
      <c r="AH28" s="533">
        <f t="shared" si="10"/>
        <v>11625</v>
      </c>
      <c r="AI28" s="533">
        <f t="shared" si="11"/>
        <v>11625</v>
      </c>
      <c r="AJ28" s="537">
        <f t="shared" si="12"/>
        <v>11625</v>
      </c>
      <c r="AK28" s="486">
        <f t="shared" si="58"/>
        <v>46500</v>
      </c>
      <c r="AL28" s="532">
        <f t="shared" si="13"/>
        <v>0</v>
      </c>
      <c r="AM28" s="533">
        <f t="shared" si="14"/>
        <v>0</v>
      </c>
      <c r="AN28" s="533">
        <f t="shared" si="15"/>
        <v>0</v>
      </c>
      <c r="AO28" s="533">
        <f t="shared" si="16"/>
        <v>0</v>
      </c>
      <c r="AP28" s="585">
        <f t="shared" si="17"/>
        <v>0</v>
      </c>
      <c r="AQ28" s="487">
        <f t="shared" si="59"/>
        <v>0</v>
      </c>
      <c r="AR28" s="485">
        <f>(1-M28)*SUM('Good Housekeeping'!S69,'Good Housekeeping'!S67)</f>
        <v>46500</v>
      </c>
      <c r="AS28" s="559">
        <f t="shared" si="4"/>
        <v>7.2238899560540762E-2</v>
      </c>
      <c r="AT28" s="597">
        <f t="shared" si="5"/>
        <v>6.0215856253870319E-2</v>
      </c>
    </row>
    <row r="29" spans="1:46" ht="16.2" thickBot="1" x14ac:dyDescent="0.35">
      <c r="A29" t="s">
        <v>650</v>
      </c>
      <c r="B29" s="685">
        <v>0.2</v>
      </c>
      <c r="C29" s="686"/>
      <c r="F29" s="5" t="s">
        <v>687</v>
      </c>
      <c r="G29" s="521" t="s">
        <v>91</v>
      </c>
      <c r="H29" s="497" t="s">
        <v>91</v>
      </c>
      <c r="I29" s="497" t="s">
        <v>91</v>
      </c>
      <c r="J29" s="497" t="s">
        <v>91</v>
      </c>
      <c r="K29" s="522" t="s">
        <v>91</v>
      </c>
      <c r="L29" s="513">
        <f t="shared" si="6"/>
        <v>5</v>
      </c>
      <c r="M29" s="573">
        <v>0</v>
      </c>
      <c r="N29" s="505">
        <f>(1-M29)*IF(B28="yes",'Good Housekeeping'!T44,'Good Housekeeping'!T43)</f>
        <v>0</v>
      </c>
      <c r="O29" s="506">
        <f>(1-M29)*IF(B28="yes",'Good Housekeeping'!U44,'Good Housekeeping'!U43)</f>
        <v>0</v>
      </c>
      <c r="P29" s="566">
        <f t="shared" si="50"/>
        <v>1</v>
      </c>
      <c r="Q29" s="496"/>
      <c r="R29" s="498"/>
      <c r="S29" s="532">
        <f>IF(G29="x",$X29/$L29,0)</f>
        <v>5000</v>
      </c>
      <c r="T29" s="533">
        <f t="shared" si="45"/>
        <v>5000</v>
      </c>
      <c r="U29" s="533">
        <f t="shared" si="46"/>
        <v>5000</v>
      </c>
      <c r="V29" s="533">
        <f t="shared" si="47"/>
        <v>5000</v>
      </c>
      <c r="W29" s="585">
        <f t="shared" si="48"/>
        <v>5000</v>
      </c>
      <c r="X29" s="486">
        <f t="shared" si="51"/>
        <v>25000</v>
      </c>
      <c r="Y29" s="532">
        <f t="shared" si="52"/>
        <v>0</v>
      </c>
      <c r="Z29" s="533">
        <f t="shared" si="53"/>
        <v>0</v>
      </c>
      <c r="AA29" s="533">
        <f t="shared" si="54"/>
        <v>0</v>
      </c>
      <c r="AB29" s="533">
        <f t="shared" si="55"/>
        <v>0</v>
      </c>
      <c r="AC29" s="585">
        <f t="shared" si="56"/>
        <v>0</v>
      </c>
      <c r="AD29" s="487">
        <f t="shared" si="57"/>
        <v>0</v>
      </c>
      <c r="AE29" s="486">
        <f>(1-M29)*IF(B28="yes",(5*'Good Housekeeping'!O44),'Good Housekeeping'!R43)</f>
        <v>25000</v>
      </c>
      <c r="AF29" s="532">
        <f t="shared" si="9"/>
        <v>10000</v>
      </c>
      <c r="AG29" s="533">
        <f t="shared" si="19"/>
        <v>10000</v>
      </c>
      <c r="AH29" s="533">
        <f t="shared" si="10"/>
        <v>10000</v>
      </c>
      <c r="AI29" s="533">
        <f t="shared" si="11"/>
        <v>10000</v>
      </c>
      <c r="AJ29" s="537">
        <f t="shared" si="12"/>
        <v>10000</v>
      </c>
      <c r="AK29" s="486">
        <f t="shared" si="58"/>
        <v>50000</v>
      </c>
      <c r="AL29" s="532">
        <f t="shared" si="13"/>
        <v>0</v>
      </c>
      <c r="AM29" s="533">
        <f t="shared" si="14"/>
        <v>0</v>
      </c>
      <c r="AN29" s="533">
        <f t="shared" si="15"/>
        <v>0</v>
      </c>
      <c r="AO29" s="533">
        <f t="shared" si="16"/>
        <v>0</v>
      </c>
      <c r="AP29" s="585">
        <f t="shared" si="17"/>
        <v>0</v>
      </c>
      <c r="AQ29" s="487">
        <f t="shared" si="59"/>
        <v>0</v>
      </c>
      <c r="AR29" s="485">
        <f>(1-M29)*IF(B28="yes",(5*'Good Housekeeping'!P44),'Good Housekeeping'!S43)</f>
        <v>50000</v>
      </c>
      <c r="AS29" s="559">
        <f t="shared" si="4"/>
        <v>6.6887869963463673E-2</v>
      </c>
      <c r="AT29" s="597">
        <f t="shared" si="5"/>
        <v>6.4748232531043351E-2</v>
      </c>
    </row>
    <row r="30" spans="1:46" ht="15.6" x14ac:dyDescent="0.3">
      <c r="A30" t="s">
        <v>651</v>
      </c>
      <c r="B30" s="684">
        <f>B29*B12</f>
        <v>154.60000000000002</v>
      </c>
      <c r="C30" s="684"/>
      <c r="F30" s="5" t="s">
        <v>688</v>
      </c>
      <c r="G30" s="521" t="s">
        <v>91</v>
      </c>
      <c r="H30" s="497" t="s">
        <v>91</v>
      </c>
      <c r="I30" s="497" t="s">
        <v>91</v>
      </c>
      <c r="J30" s="497" t="s">
        <v>91</v>
      </c>
      <c r="K30" s="522" t="s">
        <v>91</v>
      </c>
      <c r="L30" s="513">
        <f t="shared" si="6"/>
        <v>5</v>
      </c>
      <c r="M30" s="573">
        <v>0</v>
      </c>
      <c r="N30" s="505">
        <f>(1-M30)*IF(B31="yes",'Good Housekeeping'!T53,'Good Housekeeping'!T52)</f>
        <v>0</v>
      </c>
      <c r="O30" s="506">
        <f>(1-M30)*IF(B31="yes",'Good Housekeeping'!U53,'Good Housekeeping'!U52)</f>
        <v>0</v>
      </c>
      <c r="P30" s="566">
        <f t="shared" si="50"/>
        <v>1</v>
      </c>
      <c r="Q30" s="496"/>
      <c r="R30" s="498"/>
      <c r="S30" s="532">
        <f t="shared" si="18"/>
        <v>5000</v>
      </c>
      <c r="T30" s="533">
        <f t="shared" si="45"/>
        <v>5000</v>
      </c>
      <c r="U30" s="533">
        <f t="shared" si="46"/>
        <v>5000</v>
      </c>
      <c r="V30" s="533">
        <f t="shared" si="47"/>
        <v>5000</v>
      </c>
      <c r="W30" s="585">
        <f t="shared" si="48"/>
        <v>5000</v>
      </c>
      <c r="X30" s="486">
        <f t="shared" si="51"/>
        <v>25000</v>
      </c>
      <c r="Y30" s="532">
        <f t="shared" si="52"/>
        <v>0</v>
      </c>
      <c r="Z30" s="533">
        <f t="shared" si="53"/>
        <v>0</v>
      </c>
      <c r="AA30" s="533">
        <f t="shared" si="54"/>
        <v>0</v>
      </c>
      <c r="AB30" s="533">
        <f t="shared" si="55"/>
        <v>0</v>
      </c>
      <c r="AC30" s="585">
        <f t="shared" si="56"/>
        <v>0</v>
      </c>
      <c r="AD30" s="487">
        <f t="shared" si="57"/>
        <v>0</v>
      </c>
      <c r="AE30" s="486">
        <f>(1-M30)*IF(B31="yes",(5*'Good Housekeeping'!O53),'Good Housekeeping'!R52)</f>
        <v>25000</v>
      </c>
      <c r="AF30" s="532">
        <f t="shared" si="9"/>
        <v>10000</v>
      </c>
      <c r="AG30" s="533">
        <f t="shared" si="19"/>
        <v>10000</v>
      </c>
      <c r="AH30" s="533">
        <f t="shared" si="10"/>
        <v>10000</v>
      </c>
      <c r="AI30" s="533">
        <f t="shared" si="11"/>
        <v>10000</v>
      </c>
      <c r="AJ30" s="537">
        <f t="shared" si="12"/>
        <v>10000</v>
      </c>
      <c r="AK30" s="486">
        <f t="shared" si="58"/>
        <v>50000</v>
      </c>
      <c r="AL30" s="532">
        <f t="shared" si="13"/>
        <v>0</v>
      </c>
      <c r="AM30" s="533">
        <f t="shared" si="14"/>
        <v>0</v>
      </c>
      <c r="AN30" s="533">
        <f t="shared" si="15"/>
        <v>0</v>
      </c>
      <c r="AO30" s="533">
        <f t="shared" si="16"/>
        <v>0</v>
      </c>
      <c r="AP30" s="585">
        <f t="shared" si="17"/>
        <v>0</v>
      </c>
      <c r="AQ30" s="487">
        <f t="shared" si="59"/>
        <v>0</v>
      </c>
      <c r="AR30" s="485">
        <f>(1-M30)*IF(B31="yes",(5*'Good Housekeeping'!P53),'Good Housekeeping'!S52)</f>
        <v>50000</v>
      </c>
      <c r="AS30" s="559">
        <f t="shared" si="4"/>
        <v>6.6887869963463673E-2</v>
      </c>
      <c r="AT30" s="597">
        <f t="shared" si="5"/>
        <v>6.4748232531043351E-2</v>
      </c>
    </row>
    <row r="31" spans="1:46" ht="15.6" x14ac:dyDescent="0.3">
      <c r="A31" t="s">
        <v>686</v>
      </c>
      <c r="B31" s="676" t="s">
        <v>773</v>
      </c>
      <c r="C31" s="676"/>
      <c r="F31" s="5" t="s">
        <v>673</v>
      </c>
      <c r="G31" s="521" t="s">
        <v>91</v>
      </c>
      <c r="H31" s="497" t="s">
        <v>91</v>
      </c>
      <c r="I31" s="497" t="s">
        <v>91</v>
      </c>
      <c r="J31" s="497" t="s">
        <v>91</v>
      </c>
      <c r="K31" s="522" t="s">
        <v>91</v>
      </c>
      <c r="L31" s="513">
        <f t="shared" si="6"/>
        <v>5</v>
      </c>
      <c r="M31" s="573">
        <v>0</v>
      </c>
      <c r="N31" s="507">
        <f>(1-M31)*'Good Housekeeping'!T68</f>
        <v>60</v>
      </c>
      <c r="O31" s="508">
        <f>(1-M31)*'Good Housekeeping'!U68</f>
        <v>70</v>
      </c>
      <c r="P31" s="566">
        <f t="shared" si="50"/>
        <v>1</v>
      </c>
      <c r="Q31" s="496"/>
      <c r="R31" s="498"/>
      <c r="S31" s="532">
        <f t="shared" si="18"/>
        <v>1200</v>
      </c>
      <c r="T31" s="533">
        <f t="shared" si="45"/>
        <v>1200</v>
      </c>
      <c r="U31" s="533">
        <f t="shared" si="46"/>
        <v>1200</v>
      </c>
      <c r="V31" s="533">
        <f t="shared" si="47"/>
        <v>1200</v>
      </c>
      <c r="W31" s="585">
        <f t="shared" si="48"/>
        <v>1200</v>
      </c>
      <c r="X31" s="486">
        <f t="shared" si="51"/>
        <v>6000</v>
      </c>
      <c r="Y31" s="532">
        <f t="shared" si="52"/>
        <v>0</v>
      </c>
      <c r="Z31" s="533">
        <f t="shared" si="53"/>
        <v>0</v>
      </c>
      <c r="AA31" s="533">
        <f t="shared" si="54"/>
        <v>0</v>
      </c>
      <c r="AB31" s="533">
        <f t="shared" si="55"/>
        <v>0</v>
      </c>
      <c r="AC31" s="585">
        <f t="shared" si="56"/>
        <v>0</v>
      </c>
      <c r="AD31" s="487">
        <f t="shared" si="57"/>
        <v>0</v>
      </c>
      <c r="AE31" s="486">
        <f>(1-M31)*'Good Housekeeping'!R68</f>
        <v>6000</v>
      </c>
      <c r="AF31" s="532">
        <f t="shared" si="9"/>
        <v>1400</v>
      </c>
      <c r="AG31" s="533">
        <f t="shared" si="19"/>
        <v>1400</v>
      </c>
      <c r="AH31" s="533">
        <f t="shared" si="10"/>
        <v>1400</v>
      </c>
      <c r="AI31" s="533">
        <f t="shared" si="11"/>
        <v>1400</v>
      </c>
      <c r="AJ31" s="537">
        <f t="shared" si="12"/>
        <v>1400</v>
      </c>
      <c r="AK31" s="486">
        <f t="shared" si="58"/>
        <v>7000</v>
      </c>
      <c r="AL31" s="532">
        <f t="shared" si="13"/>
        <v>0</v>
      </c>
      <c r="AM31" s="533">
        <f t="shared" si="14"/>
        <v>0</v>
      </c>
      <c r="AN31" s="533">
        <f t="shared" si="15"/>
        <v>0</v>
      </c>
      <c r="AO31" s="533">
        <f t="shared" si="16"/>
        <v>0</v>
      </c>
      <c r="AP31" s="585">
        <f t="shared" si="17"/>
        <v>0</v>
      </c>
      <c r="AQ31" s="487">
        <f t="shared" si="59"/>
        <v>0</v>
      </c>
      <c r="AR31" s="485">
        <f>(1-M31)*'Good Housekeeping'!S68</f>
        <v>7000</v>
      </c>
      <c r="AS31" s="559">
        <f t="shared" si="4"/>
        <v>1.6053088791231282E-2</v>
      </c>
      <c r="AT31" s="597">
        <f t="shared" si="5"/>
        <v>9.0647525543460696E-3</v>
      </c>
    </row>
    <row r="32" spans="1:46" ht="16.2" thickBot="1" x14ac:dyDescent="0.35">
      <c r="A32" t="s">
        <v>652</v>
      </c>
      <c r="B32" s="676">
        <v>67</v>
      </c>
      <c r="C32" s="676"/>
      <c r="F32" s="488" t="s">
        <v>629</v>
      </c>
      <c r="G32" s="523" t="s">
        <v>91</v>
      </c>
      <c r="H32" s="524" t="s">
        <v>91</v>
      </c>
      <c r="I32" s="524" t="s">
        <v>91</v>
      </c>
      <c r="J32" s="524" t="s">
        <v>91</v>
      </c>
      <c r="K32" s="525" t="s">
        <v>91</v>
      </c>
      <c r="L32" s="530">
        <f t="shared" si="6"/>
        <v>5</v>
      </c>
      <c r="M32" s="610">
        <v>0</v>
      </c>
      <c r="N32" s="503">
        <f>(1-M32)*'Annual Report'!S44</f>
        <v>253</v>
      </c>
      <c r="O32" s="504">
        <f>(1-M32)*'Annual Report'!T44</f>
        <v>516</v>
      </c>
      <c r="P32" s="567">
        <f>1-(Q32+R32)</f>
        <v>1</v>
      </c>
      <c r="Q32" s="499"/>
      <c r="R32" s="500"/>
      <c r="S32" s="534">
        <f t="shared" si="18"/>
        <v>5060</v>
      </c>
      <c r="T32" s="535">
        <f t="shared" si="45"/>
        <v>5060</v>
      </c>
      <c r="U32" s="535">
        <f t="shared" si="46"/>
        <v>5060</v>
      </c>
      <c r="V32" s="535">
        <f t="shared" si="47"/>
        <v>5060</v>
      </c>
      <c r="W32" s="586">
        <f t="shared" si="48"/>
        <v>5060</v>
      </c>
      <c r="X32" s="493">
        <f>AE32*P32</f>
        <v>25300</v>
      </c>
      <c r="Y32" s="532">
        <f t="shared" ref="Y32" si="60">IF(G32="x",$AD32/$L32,0)</f>
        <v>0</v>
      </c>
      <c r="Z32" s="533">
        <f t="shared" ref="Z32" si="61">IF(H32="x",$AD32/$L32,0)</f>
        <v>0</v>
      </c>
      <c r="AA32" s="533">
        <f t="shared" ref="AA32" si="62">IF(I32="x",$AD32/$L32,0)</f>
        <v>0</v>
      </c>
      <c r="AB32" s="533">
        <f t="shared" ref="AB32" si="63">IF(J32="x",$AD32/$L32,0)</f>
        <v>0</v>
      </c>
      <c r="AC32" s="585">
        <f t="shared" ref="AC32" si="64">IF(K32="x",$AD32/$L32,0)</f>
        <v>0</v>
      </c>
      <c r="AD32" s="494">
        <f t="shared" si="57"/>
        <v>0</v>
      </c>
      <c r="AE32" s="493">
        <f>(1-M32)*'Annual Report'!Q44</f>
        <v>25300</v>
      </c>
      <c r="AF32" s="534">
        <f>IF($G32="x",$AK32/$L32,0)</f>
        <v>10320</v>
      </c>
      <c r="AG32" s="535">
        <f t="shared" si="19"/>
        <v>10320</v>
      </c>
      <c r="AH32" s="535">
        <f t="shared" si="10"/>
        <v>10320</v>
      </c>
      <c r="AI32" s="535">
        <f t="shared" si="11"/>
        <v>10320</v>
      </c>
      <c r="AJ32" s="538">
        <f t="shared" si="12"/>
        <v>10320</v>
      </c>
      <c r="AK32" s="493">
        <f t="shared" si="58"/>
        <v>51600</v>
      </c>
      <c r="AL32" s="532">
        <f t="shared" si="13"/>
        <v>0</v>
      </c>
      <c r="AM32" s="533">
        <f t="shared" ref="AM32" si="65">IF(H32="x",$AQ32/$L32,0)</f>
        <v>0</v>
      </c>
      <c r="AN32" s="533">
        <f t="shared" ref="AN32" si="66">IF(I32="x",$AQ32/$L32,0)</f>
        <v>0</v>
      </c>
      <c r="AO32" s="533">
        <f t="shared" ref="AO32" si="67">IF(J32="x",$AQ32/$L32,0)</f>
        <v>0</v>
      </c>
      <c r="AP32" s="585">
        <f t="shared" ref="AP32" si="68">IF(K32="x",$AQ32/$L32,0)</f>
        <v>0</v>
      </c>
      <c r="AQ32" s="494">
        <f t="shared" si="59"/>
        <v>0</v>
      </c>
      <c r="AR32" s="492">
        <f>(1-M32)*'Annual Report'!R44</f>
        <v>51600</v>
      </c>
      <c r="AS32" s="561">
        <f t="shared" si="4"/>
        <v>6.769052440302524E-2</v>
      </c>
      <c r="AT32" s="606">
        <f t="shared" si="5"/>
        <v>6.6820175972036738E-2</v>
      </c>
    </row>
    <row r="33" spans="1:46" ht="15" thickBot="1" x14ac:dyDescent="0.35">
      <c r="A33" t="s">
        <v>653</v>
      </c>
      <c r="B33" s="684">
        <f>B32*2</f>
        <v>134</v>
      </c>
      <c r="C33" s="684"/>
      <c r="F33" s="4"/>
      <c r="G33" s="4"/>
      <c r="H33" s="4"/>
      <c r="I33" s="4"/>
      <c r="J33" s="4"/>
      <c r="K33" s="4"/>
      <c r="L33" s="4"/>
      <c r="M33" s="463"/>
      <c r="N33" s="451"/>
      <c r="O33" s="451"/>
      <c r="P33" s="484"/>
      <c r="Q33" s="484"/>
      <c r="R33" s="484"/>
      <c r="S33" s="550" t="s">
        <v>745</v>
      </c>
      <c r="T33" s="551" t="s">
        <v>746</v>
      </c>
      <c r="U33" s="551" t="s">
        <v>747</v>
      </c>
      <c r="V33" s="551" t="s">
        <v>748</v>
      </c>
      <c r="W33" s="552" t="s">
        <v>749</v>
      </c>
      <c r="X33" s="545"/>
      <c r="Y33" s="545"/>
      <c r="Z33" s="545"/>
      <c r="AA33" s="545"/>
      <c r="AB33" s="545"/>
      <c r="AC33" s="545"/>
      <c r="AD33" s="545"/>
      <c r="AE33" s="455"/>
      <c r="AF33" s="547" t="s">
        <v>745</v>
      </c>
      <c r="AG33" s="548" t="s">
        <v>746</v>
      </c>
      <c r="AH33" s="548" t="s">
        <v>747</v>
      </c>
      <c r="AI33" s="548" t="s">
        <v>748</v>
      </c>
      <c r="AJ33" s="549" t="s">
        <v>749</v>
      </c>
      <c r="AK33" s="545"/>
      <c r="AL33" s="545"/>
      <c r="AM33" s="545"/>
      <c r="AN33" s="545"/>
      <c r="AO33" s="545"/>
      <c r="AP33" s="545"/>
      <c r="AQ33" s="545"/>
      <c r="AR33" s="455"/>
      <c r="AS33" s="450"/>
      <c r="AT33" s="450"/>
    </row>
    <row r="34" spans="1:46" ht="18.600000000000001" thickBot="1" x14ac:dyDescent="0.4">
      <c r="F34" s="4"/>
      <c r="G34" s="4"/>
      <c r="H34" s="4"/>
      <c r="I34" s="4"/>
      <c r="J34" s="4"/>
      <c r="K34" s="4"/>
      <c r="L34" s="4"/>
      <c r="M34" s="463"/>
      <c r="N34" s="451"/>
      <c r="O34" s="451"/>
      <c r="P34" s="484"/>
      <c r="Q34" s="484"/>
      <c r="R34" s="570" t="s">
        <v>761</v>
      </c>
      <c r="S34" s="536">
        <f>SUM(S5:S32)</f>
        <v>58119.039199999999</v>
      </c>
      <c r="T34" s="568">
        <f t="shared" ref="T34:W34" si="69">SUM(T5:T32)</f>
        <v>103588.43463666667</v>
      </c>
      <c r="U34" s="568">
        <f t="shared" si="69"/>
        <v>35856.81697</v>
      </c>
      <c r="V34" s="568">
        <f t="shared" si="69"/>
        <v>89677.777770000001</v>
      </c>
      <c r="W34" s="569">
        <f t="shared" si="69"/>
        <v>30477.777770000001</v>
      </c>
      <c r="X34" s="531"/>
      <c r="Y34" s="613" t="s">
        <v>745</v>
      </c>
      <c r="Z34" s="613" t="s">
        <v>746</v>
      </c>
      <c r="AA34" s="613" t="s">
        <v>747</v>
      </c>
      <c r="AB34" s="613" t="s">
        <v>748</v>
      </c>
      <c r="AC34" s="613" t="s">
        <v>749</v>
      </c>
      <c r="AD34" s="26"/>
      <c r="AF34" s="536">
        <f>SUM(AF5:AF32)</f>
        <v>156560.0392</v>
      </c>
      <c r="AG34" s="568">
        <f t="shared" ref="AG34:AJ34" si="70">SUM(AG5:AG32)</f>
        <v>184863.6274</v>
      </c>
      <c r="AH34" s="568">
        <f t="shared" si="70"/>
        <v>77387.774399999995</v>
      </c>
      <c r="AI34" s="568">
        <f t="shared" si="70"/>
        <v>135208.7352</v>
      </c>
      <c r="AJ34" s="569">
        <f t="shared" si="70"/>
        <v>64808.735199999996</v>
      </c>
      <c r="AK34" s="531"/>
      <c r="AL34" s="614" t="s">
        <v>745</v>
      </c>
      <c r="AM34" s="614" t="s">
        <v>746</v>
      </c>
      <c r="AN34" s="614" t="s">
        <v>747</v>
      </c>
      <c r="AO34" s="614" t="s">
        <v>748</v>
      </c>
      <c r="AP34" s="614" t="s">
        <v>749</v>
      </c>
      <c r="AQ34" s="546"/>
      <c r="AR34" s="571"/>
      <c r="AS34" s="450"/>
      <c r="AT34" s="450"/>
    </row>
    <row r="35" spans="1:46" ht="18.600000000000001" thickBot="1" x14ac:dyDescent="0.4">
      <c r="F35" s="4"/>
      <c r="G35" s="4"/>
      <c r="H35" s="4"/>
      <c r="I35" s="4"/>
      <c r="J35" s="4"/>
      <c r="K35" s="4"/>
      <c r="L35" s="4"/>
      <c r="M35" s="463"/>
      <c r="N35" s="451"/>
      <c r="O35" s="451"/>
      <c r="P35" s="484"/>
      <c r="Q35" s="484"/>
      <c r="R35" s="570" t="s">
        <v>762</v>
      </c>
      <c r="S35" s="536">
        <f>SUM(Y5:Y32)</f>
        <v>0</v>
      </c>
      <c r="T35" s="568">
        <f t="shared" ref="T35:W35" si="71">SUM(Z5:Z32)</f>
        <v>0</v>
      </c>
      <c r="U35" s="568">
        <f t="shared" si="71"/>
        <v>0</v>
      </c>
      <c r="V35" s="568">
        <f t="shared" si="71"/>
        <v>0</v>
      </c>
      <c r="W35" s="569">
        <f t="shared" si="71"/>
        <v>0</v>
      </c>
      <c r="X35" s="531"/>
      <c r="Y35" s="625">
        <f>SUM(S34:S37)</f>
        <v>68247.039199999999</v>
      </c>
      <c r="Z35" s="625">
        <f t="shared" ref="Z35:AC35" si="72">SUM(T34:T37)</f>
        <v>115066.43463666667</v>
      </c>
      <c r="AA35" s="625">
        <f t="shared" si="72"/>
        <v>47334.81697</v>
      </c>
      <c r="AB35" s="625">
        <f t="shared" si="72"/>
        <v>101155.77777</v>
      </c>
      <c r="AC35" s="625">
        <f t="shared" si="72"/>
        <v>41955.777770000001</v>
      </c>
      <c r="AE35" s="571"/>
      <c r="AF35" s="536">
        <f>SUM(AL5:AL32)</f>
        <v>0</v>
      </c>
      <c r="AG35" s="568">
        <f t="shared" ref="AG35:AI35" si="73">SUM(AM5:AM32)</f>
        <v>0</v>
      </c>
      <c r="AH35" s="568">
        <f t="shared" si="73"/>
        <v>0</v>
      </c>
      <c r="AI35" s="568">
        <f t="shared" si="73"/>
        <v>0</v>
      </c>
      <c r="AJ35" s="569">
        <f>SUM(AP5:AP32)</f>
        <v>0</v>
      </c>
      <c r="AK35" s="531"/>
      <c r="AL35" s="626">
        <f>SUM(AF34:AF37)</f>
        <v>184338.62719999999</v>
      </c>
      <c r="AM35" s="626">
        <f t="shared" ref="AM35:AP35" si="74">SUM(AG34:AG37)</f>
        <v>216267.21539999999</v>
      </c>
      <c r="AN35" s="626">
        <f>SUM(AH34:AH37)</f>
        <v>108791.3624</v>
      </c>
      <c r="AO35" s="626">
        <f t="shared" si="74"/>
        <v>166612.32319999998</v>
      </c>
      <c r="AP35" s="626">
        <f t="shared" si="74"/>
        <v>96212.323199999999</v>
      </c>
      <c r="AR35" s="571"/>
      <c r="AS35" s="450"/>
      <c r="AT35" s="450"/>
    </row>
    <row r="36" spans="1:46" ht="23.4" x14ac:dyDescent="0.45">
      <c r="A36" s="488" t="s">
        <v>654</v>
      </c>
      <c r="F36" s="4"/>
      <c r="G36" s="4"/>
      <c r="H36" s="4"/>
      <c r="I36" s="4"/>
      <c r="J36" s="4"/>
      <c r="K36" s="4"/>
      <c r="L36" s="4"/>
      <c r="M36" s="463"/>
      <c r="N36" s="451"/>
      <c r="O36" s="451"/>
      <c r="P36" s="484"/>
      <c r="Q36" s="484"/>
      <c r="R36" s="570" t="s">
        <v>759</v>
      </c>
      <c r="S36" s="536">
        <f>SUM(S44:S54,Y44:Y54)</f>
        <v>2800</v>
      </c>
      <c r="T36" s="568">
        <f t="shared" ref="T36:W36" si="75">SUM(T44:T54,Z44:Z54)</f>
        <v>4150</v>
      </c>
      <c r="U36" s="568">
        <f t="shared" si="75"/>
        <v>4150</v>
      </c>
      <c r="V36" s="568">
        <f t="shared" si="75"/>
        <v>4150</v>
      </c>
      <c r="W36" s="569">
        <f t="shared" si="75"/>
        <v>4150</v>
      </c>
      <c r="X36" s="531"/>
      <c r="Y36" s="531"/>
      <c r="Z36" s="531"/>
      <c r="AA36" s="595" t="s">
        <v>757</v>
      </c>
      <c r="AB36" s="673">
        <f>SUM(S34:W37)</f>
        <v>373759.84634666663</v>
      </c>
      <c r="AC36" s="673"/>
      <c r="AD36" s="673"/>
      <c r="AE36" s="571"/>
      <c r="AF36" s="536">
        <f>SUM(AF43:AF54, AL43:AL54)</f>
        <v>13140.588</v>
      </c>
      <c r="AG36" s="568">
        <f>SUM(AG43:AG54, AM43:AM54)</f>
        <v>16765.588</v>
      </c>
      <c r="AH36" s="568">
        <f>SUM(AH43:AH54, AN43:AN54)</f>
        <v>16765.588</v>
      </c>
      <c r="AI36" s="568">
        <f>SUM(AI43:AI54, AO43:AO54)</f>
        <v>16765.588</v>
      </c>
      <c r="AJ36" s="569">
        <f>SUM(AJ43:AJ54, AP43:AP54)</f>
        <v>16765.588</v>
      </c>
      <c r="AK36" s="531"/>
      <c r="AL36" s="531"/>
      <c r="AM36" s="531"/>
      <c r="AN36" s="595" t="s">
        <v>758</v>
      </c>
      <c r="AO36" s="674">
        <f>SUM(AF34:AJ37)</f>
        <v>772221.85139999993</v>
      </c>
      <c r="AP36" s="674"/>
      <c r="AQ36" s="674"/>
      <c r="AR36" s="571"/>
      <c r="AS36" s="450"/>
      <c r="AT36" s="450"/>
    </row>
    <row r="37" spans="1:46" ht="18" x14ac:dyDescent="0.35">
      <c r="A37" t="s">
        <v>769</v>
      </c>
      <c r="B37" s="462">
        <v>11</v>
      </c>
      <c r="F37" s="4"/>
      <c r="G37" s="4"/>
      <c r="H37" s="4"/>
      <c r="I37" s="4"/>
      <c r="J37" s="4"/>
      <c r="K37" s="4"/>
      <c r="L37" s="4"/>
      <c r="M37" s="463"/>
      <c r="N37" s="451"/>
      <c r="O37" s="451"/>
      <c r="P37" s="484"/>
      <c r="Q37" s="484"/>
      <c r="R37" s="570" t="s">
        <v>760</v>
      </c>
      <c r="S37" s="536">
        <f>SUM(S60:S68,Y60:Y68)</f>
        <v>7328</v>
      </c>
      <c r="T37" s="568">
        <f>SUM(T60:T68,Z60:Z68)</f>
        <v>7328</v>
      </c>
      <c r="U37" s="568">
        <f>SUM(U60:U68,AA60:AA68)</f>
        <v>7328</v>
      </c>
      <c r="V37" s="568">
        <f>SUM(V60:V68,AB60:AB68)</f>
        <v>7328</v>
      </c>
      <c r="W37" s="569">
        <f>SUM(W60:W68,AC60:AC68)</f>
        <v>7328</v>
      </c>
      <c r="X37" s="531"/>
      <c r="Z37" s="531"/>
      <c r="AA37" s="546" t="s">
        <v>765</v>
      </c>
      <c r="AB37" s="675">
        <f>SUM(IF(B28="yes",'Good Housekeeping'!K44,0),IF('Cover Sheet'!B31="yes",'Good Housekeeping'!K53,0))</f>
        <v>250000</v>
      </c>
      <c r="AC37" s="675"/>
      <c r="AD37" s="675"/>
      <c r="AE37" s="571"/>
      <c r="AF37" s="536">
        <f>SUM(AF60:AF68,AL60:AL68)</f>
        <v>14638</v>
      </c>
      <c r="AG37" s="568">
        <f>SUM(AG60:AG68,AM60:AM68)</f>
        <v>14638</v>
      </c>
      <c r="AH37" s="568">
        <f>SUM(AH60:AH68,AN60:AN68)</f>
        <v>14638</v>
      </c>
      <c r="AI37" s="568">
        <f>SUM(AI60:AI68,AO60:AO68)</f>
        <v>14638</v>
      </c>
      <c r="AJ37" s="569">
        <f>SUM(AJ60:AJ68,AP60:AP68)</f>
        <v>14638</v>
      </c>
      <c r="AK37" s="531"/>
      <c r="AL37" s="531"/>
      <c r="AM37" s="531"/>
      <c r="AN37" s="546" t="s">
        <v>765</v>
      </c>
      <c r="AO37" s="675">
        <f>SUM(IF(B28="yes",'Good Housekeeping'!L44,0),IF('Cover Sheet'!B31="yes",'Good Housekeeping'!L53,0))</f>
        <v>570000</v>
      </c>
      <c r="AP37" s="675"/>
      <c r="AQ37" s="675"/>
      <c r="AR37" s="571"/>
      <c r="AS37" s="450"/>
      <c r="AT37" s="450"/>
    </row>
    <row r="38" spans="1:46" ht="16.2" thickBot="1" x14ac:dyDescent="0.35">
      <c r="A38" t="s">
        <v>768</v>
      </c>
      <c r="B38" s="641">
        <v>0</v>
      </c>
      <c r="S38" s="678" t="s">
        <v>750</v>
      </c>
      <c r="T38" s="679"/>
      <c r="U38" s="679"/>
      <c r="V38" s="679"/>
      <c r="W38" s="680"/>
      <c r="X38" s="562"/>
      <c r="Y38" s="562"/>
      <c r="Z38" s="562"/>
      <c r="AA38" s="562"/>
      <c r="AB38" s="562"/>
      <c r="AC38" s="562"/>
      <c r="AD38" s="572"/>
      <c r="AE38" s="460"/>
      <c r="AF38" s="681" t="s">
        <v>751</v>
      </c>
      <c r="AG38" s="682"/>
      <c r="AH38" s="682"/>
      <c r="AI38" s="682"/>
      <c r="AJ38" s="683"/>
      <c r="AK38" s="562"/>
      <c r="AL38" s="562"/>
      <c r="AM38" s="562"/>
      <c r="AN38" s="562"/>
      <c r="AO38" s="562"/>
      <c r="AP38" s="562"/>
      <c r="AQ38" s="562"/>
      <c r="AR38" s="563"/>
    </row>
    <row r="39" spans="1:46" ht="15" thickBot="1" x14ac:dyDescent="0.35">
      <c r="A39" t="s">
        <v>766</v>
      </c>
      <c r="B39" s="641">
        <v>0</v>
      </c>
      <c r="C39" s="421"/>
    </row>
    <row r="40" spans="1:46" ht="15" thickBot="1" x14ac:dyDescent="0.35">
      <c r="A40" t="s">
        <v>655</v>
      </c>
      <c r="B40" s="462">
        <v>11</v>
      </c>
      <c r="G40" s="656" t="s">
        <v>731</v>
      </c>
      <c r="H40" s="657"/>
      <c r="I40" s="657"/>
      <c r="J40" s="657"/>
      <c r="K40" s="658"/>
      <c r="L40" s="662" t="s">
        <v>742</v>
      </c>
      <c r="M40" s="574" t="s">
        <v>712</v>
      </c>
      <c r="N40" s="656" t="s">
        <v>657</v>
      </c>
      <c r="O40" s="658"/>
      <c r="P40" s="664" t="s">
        <v>658</v>
      </c>
      <c r="Q40" s="666"/>
      <c r="R40" s="665"/>
      <c r="S40" s="667" t="s">
        <v>743</v>
      </c>
      <c r="T40" s="668"/>
      <c r="U40" s="668"/>
      <c r="V40" s="668"/>
      <c r="W40" s="668"/>
      <c r="X40" s="668"/>
      <c r="Y40" s="668"/>
      <c r="Z40" s="668"/>
      <c r="AA40" s="668"/>
      <c r="AB40" s="668"/>
      <c r="AC40" s="668"/>
      <c r="AD40" s="668"/>
      <c r="AE40" s="669"/>
      <c r="AF40" s="670" t="s">
        <v>744</v>
      </c>
      <c r="AG40" s="671"/>
      <c r="AH40" s="671"/>
      <c r="AI40" s="671"/>
      <c r="AJ40" s="671"/>
      <c r="AK40" s="671"/>
      <c r="AL40" s="671"/>
      <c r="AM40" s="671"/>
      <c r="AN40" s="671"/>
      <c r="AO40" s="671"/>
      <c r="AP40" s="671"/>
      <c r="AQ40" s="671"/>
      <c r="AR40" s="672"/>
    </row>
    <row r="41" spans="1:46" ht="18" x14ac:dyDescent="0.35">
      <c r="F41" s="594" t="s">
        <v>763</v>
      </c>
      <c r="G41" s="659"/>
      <c r="H41" s="660"/>
      <c r="I41" s="660"/>
      <c r="J41" s="660"/>
      <c r="K41" s="661"/>
      <c r="L41" s="663"/>
      <c r="M41" s="575"/>
      <c r="N41" s="659"/>
      <c r="O41" s="661"/>
      <c r="P41" s="527"/>
      <c r="Q41" s="529"/>
      <c r="R41" s="528"/>
      <c r="S41" s="667" t="s">
        <v>752</v>
      </c>
      <c r="T41" s="668"/>
      <c r="U41" s="668"/>
      <c r="V41" s="668"/>
      <c r="W41" s="669"/>
      <c r="X41" s="539"/>
      <c r="Y41" s="667" t="s">
        <v>755</v>
      </c>
      <c r="Z41" s="668"/>
      <c r="AA41" s="668"/>
      <c r="AB41" s="668"/>
      <c r="AC41" s="669"/>
      <c r="AD41" s="539"/>
      <c r="AE41" s="589"/>
      <c r="AF41" s="670" t="s">
        <v>753</v>
      </c>
      <c r="AG41" s="671"/>
      <c r="AH41" s="671"/>
      <c r="AI41" s="671"/>
      <c r="AJ41" s="672"/>
      <c r="AK41" s="542"/>
      <c r="AL41" s="670" t="s">
        <v>756</v>
      </c>
      <c r="AM41" s="671"/>
      <c r="AN41" s="671"/>
      <c r="AO41" s="671"/>
      <c r="AP41" s="672"/>
      <c r="AQ41" s="542"/>
      <c r="AR41" s="542"/>
    </row>
    <row r="42" spans="1:46" ht="15" thickBot="1" x14ac:dyDescent="0.35">
      <c r="G42" s="516">
        <v>1</v>
      </c>
      <c r="H42" s="564">
        <v>2</v>
      </c>
      <c r="I42" s="564">
        <v>3</v>
      </c>
      <c r="J42" s="564">
        <v>4</v>
      </c>
      <c r="K42" s="517">
        <v>5</v>
      </c>
      <c r="L42" s="576"/>
      <c r="M42" s="581"/>
      <c r="N42" s="518" t="s">
        <v>340</v>
      </c>
      <c r="O42" s="519" t="s">
        <v>341</v>
      </c>
      <c r="P42" s="518" t="s">
        <v>659</v>
      </c>
      <c r="Q42" s="520" t="s">
        <v>702</v>
      </c>
      <c r="R42" s="519" t="s">
        <v>660</v>
      </c>
      <c r="S42" s="554" t="s">
        <v>745</v>
      </c>
      <c r="T42" s="555" t="s">
        <v>746</v>
      </c>
      <c r="U42" s="555" t="s">
        <v>747</v>
      </c>
      <c r="V42" s="555" t="s">
        <v>748</v>
      </c>
      <c r="W42" s="555" t="s">
        <v>749</v>
      </c>
      <c r="X42" s="587" t="s">
        <v>659</v>
      </c>
      <c r="Y42" s="555" t="s">
        <v>745</v>
      </c>
      <c r="Z42" s="555" t="s">
        <v>746</v>
      </c>
      <c r="AA42" s="555" t="s">
        <v>747</v>
      </c>
      <c r="AB42" s="555" t="s">
        <v>748</v>
      </c>
      <c r="AC42" s="555" t="s">
        <v>749</v>
      </c>
      <c r="AD42" s="587" t="s">
        <v>660</v>
      </c>
      <c r="AE42" s="587" t="s">
        <v>741</v>
      </c>
      <c r="AF42" s="556" t="s">
        <v>745</v>
      </c>
      <c r="AG42" s="557" t="s">
        <v>746</v>
      </c>
      <c r="AH42" s="557" t="s">
        <v>747</v>
      </c>
      <c r="AI42" s="557" t="s">
        <v>748</v>
      </c>
      <c r="AJ42" s="596" t="s">
        <v>749</v>
      </c>
      <c r="AK42" s="553" t="s">
        <v>659</v>
      </c>
      <c r="AL42" s="599"/>
      <c r="AM42" s="543"/>
      <c r="AN42" s="543"/>
      <c r="AO42" s="543"/>
      <c r="AP42" s="544"/>
      <c r="AQ42" s="553" t="s">
        <v>660</v>
      </c>
      <c r="AR42" s="553" t="s">
        <v>741</v>
      </c>
    </row>
    <row r="43" spans="1:46" ht="15.6" x14ac:dyDescent="0.3">
      <c r="A43" s="639" t="s">
        <v>703</v>
      </c>
      <c r="B43" s="454"/>
      <c r="C43" s="455"/>
      <c r="F43" s="488" t="s">
        <v>694</v>
      </c>
      <c r="G43" s="456"/>
      <c r="H43" s="26"/>
      <c r="I43" s="26"/>
      <c r="J43" s="26"/>
      <c r="K43" s="457"/>
      <c r="L43" s="580"/>
      <c r="M43" s="618"/>
      <c r="N43" s="590">
        <f>SUM(N44:N47)</f>
        <v>0</v>
      </c>
      <c r="O43" s="591">
        <f>SUM(O44:O47)</f>
        <v>400</v>
      </c>
      <c r="P43" s="619"/>
      <c r="Q43" s="620"/>
      <c r="R43" s="621"/>
      <c r="S43" s="622"/>
      <c r="T43" s="623"/>
      <c r="U43" s="623"/>
      <c r="V43" s="623"/>
      <c r="W43" s="624"/>
      <c r="X43" s="593">
        <f>SUM(X44:X47)</f>
        <v>0</v>
      </c>
      <c r="Y43" s="622"/>
      <c r="Z43" s="623"/>
      <c r="AA43" s="623"/>
      <c r="AB43" s="623"/>
      <c r="AC43" s="624"/>
      <c r="AD43" s="593">
        <f>SUM(AD44:AD47)</f>
        <v>0</v>
      </c>
      <c r="AE43" s="593">
        <f>SUM(AE44:AE47)</f>
        <v>0</v>
      </c>
      <c r="AF43" s="532"/>
      <c r="AG43" s="533"/>
      <c r="AH43" s="533"/>
      <c r="AI43" s="533"/>
      <c r="AJ43" s="585"/>
      <c r="AK43" s="601">
        <f>SUM(AK44:AK47)</f>
        <v>41702.94</v>
      </c>
      <c r="AL43" s="456"/>
      <c r="AM43" s="26"/>
      <c r="AN43" s="26"/>
      <c r="AO43" s="26"/>
      <c r="AP43" s="457"/>
      <c r="AQ43" s="605">
        <f>SUM(AQ44:AQ47)</f>
        <v>0</v>
      </c>
      <c r="AR43" s="605">
        <f>SUM(AR44:AR47)</f>
        <v>41702.94</v>
      </c>
    </row>
    <row r="44" spans="1:46" ht="15.6" x14ac:dyDescent="0.3">
      <c r="A44" s="456" t="s">
        <v>721</v>
      </c>
      <c r="B44" s="26"/>
      <c r="C44" s="457"/>
      <c r="F44" t="s">
        <v>754</v>
      </c>
      <c r="G44" s="456" t="s">
        <v>91</v>
      </c>
      <c r="H44" s="26" t="s">
        <v>91</v>
      </c>
      <c r="I44" s="26" t="s">
        <v>91</v>
      </c>
      <c r="J44" s="26" t="s">
        <v>91</v>
      </c>
      <c r="K44" s="457" t="s">
        <v>91</v>
      </c>
      <c r="L44" s="580">
        <f t="shared" ref="L44:L47" si="76">COUNTIF(G44:K44, "x")</f>
        <v>5</v>
      </c>
      <c r="M44" s="573">
        <v>0</v>
      </c>
      <c r="N44" s="582">
        <f>IDDE!V42</f>
        <v>0</v>
      </c>
      <c r="O44" s="583">
        <f>IDDE!W42</f>
        <v>200</v>
      </c>
      <c r="P44" s="566">
        <f t="shared" ref="P44:P47" si="77">1-(Q44+R44)</f>
        <v>1</v>
      </c>
      <c r="Q44" s="496"/>
      <c r="R44" s="498"/>
      <c r="S44" s="532">
        <f t="shared" ref="S44:W47" si="78">IF(G44="x",$X44/$L44,0)</f>
        <v>0</v>
      </c>
      <c r="T44" s="533">
        <f t="shared" si="78"/>
        <v>0</v>
      </c>
      <c r="U44" s="533">
        <f t="shared" si="78"/>
        <v>0</v>
      </c>
      <c r="V44" s="533">
        <f t="shared" si="78"/>
        <v>0</v>
      </c>
      <c r="W44" s="533">
        <f t="shared" si="78"/>
        <v>0</v>
      </c>
      <c r="X44" s="588">
        <f>AE44*P44</f>
        <v>0</v>
      </c>
      <c r="Y44" s="533">
        <f t="shared" ref="Y44:AC47" si="79">IF(G44="x",$AD44/$L44,0)</f>
        <v>0</v>
      </c>
      <c r="Z44" s="533">
        <f t="shared" si="79"/>
        <v>0</v>
      </c>
      <c r="AA44" s="533">
        <f t="shared" si="79"/>
        <v>0</v>
      </c>
      <c r="AB44" s="533">
        <f t="shared" si="79"/>
        <v>0</v>
      </c>
      <c r="AC44" s="533">
        <f t="shared" si="79"/>
        <v>0</v>
      </c>
      <c r="AD44" s="588">
        <f>AE44*R44</f>
        <v>0</v>
      </c>
      <c r="AE44" s="481">
        <f>(1-M44)*IDDE!T42</f>
        <v>0</v>
      </c>
      <c r="AF44" s="532">
        <f>IF(G44="x",$AK44/$L44,0)</f>
        <v>4000</v>
      </c>
      <c r="AG44" s="533">
        <f t="shared" ref="AG44:AJ47" si="80">IF(H44="x",$AK44/$L44,0)</f>
        <v>4000</v>
      </c>
      <c r="AH44" s="533">
        <f t="shared" si="80"/>
        <v>4000</v>
      </c>
      <c r="AI44" s="533">
        <f t="shared" si="80"/>
        <v>4000</v>
      </c>
      <c r="AJ44" s="585">
        <f t="shared" si="80"/>
        <v>4000</v>
      </c>
      <c r="AK44" s="602">
        <f>AR44*P44</f>
        <v>20000</v>
      </c>
      <c r="AL44" s="532">
        <f>IF($G44="x",$AQ44/$L44,0)</f>
        <v>0</v>
      </c>
      <c r="AM44" s="533">
        <f>IF(H44="x",$AQ44/$L44,0)</f>
        <v>0</v>
      </c>
      <c r="AN44" s="533">
        <f t="shared" ref="AN44" si="81">IF(I44="x",$AQ44/$L44,0)</f>
        <v>0</v>
      </c>
      <c r="AO44" s="533">
        <f>IF(J44="x",$AQ44/$L44,0)</f>
        <v>0</v>
      </c>
      <c r="AP44" s="585">
        <f t="shared" ref="AP44" si="82">IF(K44="x",$AQ44/$L44,0)</f>
        <v>0</v>
      </c>
      <c r="AQ44" s="588">
        <f>AR44*R44</f>
        <v>0</v>
      </c>
      <c r="AR44" s="600">
        <f>(1-M44)*IDDE!U42</f>
        <v>20000</v>
      </c>
    </row>
    <row r="45" spans="1:46" ht="15.6" x14ac:dyDescent="0.3">
      <c r="A45" s="465" t="s">
        <v>722</v>
      </c>
      <c r="B45" s="26"/>
      <c r="C45" s="457"/>
      <c r="F45" t="s">
        <v>695</v>
      </c>
      <c r="G45" s="456" t="s">
        <v>91</v>
      </c>
      <c r="H45" s="26" t="s">
        <v>91</v>
      </c>
      <c r="I45" s="26" t="s">
        <v>91</v>
      </c>
      <c r="J45" s="26" t="s">
        <v>91</v>
      </c>
      <c r="K45" s="457" t="s">
        <v>91</v>
      </c>
      <c r="L45" s="580">
        <f t="shared" si="76"/>
        <v>5</v>
      </c>
      <c r="M45" s="573">
        <v>0</v>
      </c>
      <c r="N45" s="582">
        <f>IDDE!V53</f>
        <v>0</v>
      </c>
      <c r="O45" s="583">
        <f>IDDE!W53</f>
        <v>80</v>
      </c>
      <c r="P45" s="566">
        <f t="shared" si="77"/>
        <v>1</v>
      </c>
      <c r="Q45" s="496"/>
      <c r="R45" s="498"/>
      <c r="S45" s="532">
        <f t="shared" si="78"/>
        <v>0</v>
      </c>
      <c r="T45" s="533">
        <f t="shared" si="78"/>
        <v>0</v>
      </c>
      <c r="U45" s="533">
        <f t="shared" si="78"/>
        <v>0</v>
      </c>
      <c r="V45" s="533">
        <f t="shared" si="78"/>
        <v>0</v>
      </c>
      <c r="W45" s="533">
        <f t="shared" si="78"/>
        <v>0</v>
      </c>
      <c r="X45" s="588">
        <f>AE45*P45</f>
        <v>0</v>
      </c>
      <c r="Y45" s="533">
        <f t="shared" si="79"/>
        <v>0</v>
      </c>
      <c r="Z45" s="533">
        <f t="shared" si="79"/>
        <v>0</v>
      </c>
      <c r="AA45" s="533">
        <f t="shared" si="79"/>
        <v>0</v>
      </c>
      <c r="AB45" s="533">
        <f t="shared" si="79"/>
        <v>0</v>
      </c>
      <c r="AC45" s="533">
        <f t="shared" si="79"/>
        <v>0</v>
      </c>
      <c r="AD45" s="588">
        <f>AE45*R45</f>
        <v>0</v>
      </c>
      <c r="AE45" s="481">
        <f>(1-M45)*IDDE!T53</f>
        <v>0</v>
      </c>
      <c r="AF45" s="532">
        <f>IF(G45="x",$AK45/$L45,0)</f>
        <v>1883.8233333333333</v>
      </c>
      <c r="AG45" s="533">
        <f t="shared" si="80"/>
        <v>1883.8233333333333</v>
      </c>
      <c r="AH45" s="533">
        <f t="shared" si="80"/>
        <v>1883.8233333333333</v>
      </c>
      <c r="AI45" s="533">
        <f t="shared" si="80"/>
        <v>1883.8233333333333</v>
      </c>
      <c r="AJ45" s="585">
        <f t="shared" si="80"/>
        <v>1883.8233333333333</v>
      </c>
      <c r="AK45" s="602">
        <f>AR45*P45</f>
        <v>9419.1166666666668</v>
      </c>
      <c r="AL45" s="532">
        <f t="shared" ref="AL45:AL47" si="83">IF($G45="x",$AQ45/$L45,0)</f>
        <v>0</v>
      </c>
      <c r="AM45" s="533">
        <f t="shared" ref="AM45:AM47" si="84">IF(H45="x",$AQ45/$L45,0)</f>
        <v>0</v>
      </c>
      <c r="AN45" s="533">
        <f t="shared" ref="AN45:AN47" si="85">IF(I45="x",$AQ45/$L45,0)</f>
        <v>0</v>
      </c>
      <c r="AO45" s="533">
        <f t="shared" ref="AO45:AO47" si="86">IF(J45="x",$AQ45/$L45,0)</f>
        <v>0</v>
      </c>
      <c r="AP45" s="585">
        <f t="shared" ref="AP45:AP47" si="87">IF(K45="x",$AQ45/$L45,0)</f>
        <v>0</v>
      </c>
      <c r="AQ45" s="588">
        <f>AR45*R45</f>
        <v>0</v>
      </c>
      <c r="AR45" s="600">
        <f>(1-M45)*IDDE!U53</f>
        <v>9419.1166666666668</v>
      </c>
    </row>
    <row r="46" spans="1:46" ht="15.6" x14ac:dyDescent="0.3">
      <c r="A46" s="26" t="s">
        <v>715</v>
      </c>
      <c r="B46" s="26"/>
      <c r="C46" s="457"/>
      <c r="F46" t="s">
        <v>696</v>
      </c>
      <c r="G46" s="456" t="s">
        <v>91</v>
      </c>
      <c r="H46" s="26" t="s">
        <v>91</v>
      </c>
      <c r="I46" s="26" t="s">
        <v>91</v>
      </c>
      <c r="J46" s="26" t="s">
        <v>91</v>
      </c>
      <c r="K46" s="457" t="s">
        <v>91</v>
      </c>
      <c r="L46" s="580">
        <f t="shared" si="76"/>
        <v>5</v>
      </c>
      <c r="M46" s="573">
        <v>0</v>
      </c>
      <c r="N46" s="582">
        <f>IDDE!V70</f>
        <v>0</v>
      </c>
      <c r="O46" s="583">
        <f>IDDE!W70</f>
        <v>40</v>
      </c>
      <c r="P46" s="566">
        <f t="shared" si="77"/>
        <v>1</v>
      </c>
      <c r="Q46" s="496"/>
      <c r="R46" s="498"/>
      <c r="S46" s="532">
        <f t="shared" si="78"/>
        <v>0</v>
      </c>
      <c r="T46" s="533">
        <f t="shared" si="78"/>
        <v>0</v>
      </c>
      <c r="U46" s="533">
        <f t="shared" si="78"/>
        <v>0</v>
      </c>
      <c r="V46" s="533">
        <f t="shared" si="78"/>
        <v>0</v>
      </c>
      <c r="W46" s="533">
        <f t="shared" si="78"/>
        <v>0</v>
      </c>
      <c r="X46" s="588">
        <f>AE46*P46</f>
        <v>0</v>
      </c>
      <c r="Y46" s="533">
        <f t="shared" si="79"/>
        <v>0</v>
      </c>
      <c r="Z46" s="533">
        <f t="shared" si="79"/>
        <v>0</v>
      </c>
      <c r="AA46" s="533">
        <f t="shared" si="79"/>
        <v>0</v>
      </c>
      <c r="AB46" s="533">
        <f t="shared" si="79"/>
        <v>0</v>
      </c>
      <c r="AC46" s="533">
        <f t="shared" si="79"/>
        <v>0</v>
      </c>
      <c r="AD46" s="588">
        <f>AE46*R46</f>
        <v>0</v>
      </c>
      <c r="AE46" s="481">
        <f>(1-M46)*IDDE!T70</f>
        <v>0</v>
      </c>
      <c r="AF46" s="532">
        <f>IF(G46="x",$AK46/$L46,0)</f>
        <v>800</v>
      </c>
      <c r="AG46" s="533">
        <f t="shared" si="80"/>
        <v>800</v>
      </c>
      <c r="AH46" s="533">
        <f t="shared" si="80"/>
        <v>800</v>
      </c>
      <c r="AI46" s="533">
        <f t="shared" si="80"/>
        <v>800</v>
      </c>
      <c r="AJ46" s="585">
        <f t="shared" si="80"/>
        <v>800</v>
      </c>
      <c r="AK46" s="602">
        <f>AR46*P46</f>
        <v>4000</v>
      </c>
      <c r="AL46" s="532">
        <f t="shared" si="83"/>
        <v>0</v>
      </c>
      <c r="AM46" s="533">
        <f t="shared" si="84"/>
        <v>0</v>
      </c>
      <c r="AN46" s="533">
        <f t="shared" si="85"/>
        <v>0</v>
      </c>
      <c r="AO46" s="533">
        <f t="shared" si="86"/>
        <v>0</v>
      </c>
      <c r="AP46" s="585">
        <f t="shared" si="87"/>
        <v>0</v>
      </c>
      <c r="AQ46" s="588">
        <f>AR46*R46</f>
        <v>0</v>
      </c>
      <c r="AR46" s="600">
        <f>(1-M46)*IDDE!U70</f>
        <v>4000</v>
      </c>
    </row>
    <row r="47" spans="1:46" ht="15.6" x14ac:dyDescent="0.3">
      <c r="A47" s="456" t="s">
        <v>716</v>
      </c>
      <c r="B47" s="26"/>
      <c r="C47" s="457"/>
      <c r="F47" t="s">
        <v>697</v>
      </c>
      <c r="G47" s="456" t="s">
        <v>91</v>
      </c>
      <c r="H47" s="26" t="s">
        <v>91</v>
      </c>
      <c r="I47" s="26" t="s">
        <v>91</v>
      </c>
      <c r="J47" s="26" t="s">
        <v>91</v>
      </c>
      <c r="K47" s="457" t="s">
        <v>91</v>
      </c>
      <c r="L47" s="580">
        <f t="shared" si="76"/>
        <v>5</v>
      </c>
      <c r="M47" s="573">
        <v>0</v>
      </c>
      <c r="N47" s="582">
        <f>IDDE!V75</f>
        <v>0</v>
      </c>
      <c r="O47" s="583">
        <f>IDDE!W75</f>
        <v>80</v>
      </c>
      <c r="P47" s="566">
        <f t="shared" si="77"/>
        <v>1</v>
      </c>
      <c r="Q47" s="496"/>
      <c r="R47" s="498"/>
      <c r="S47" s="532">
        <f t="shared" si="78"/>
        <v>0</v>
      </c>
      <c r="T47" s="533">
        <f t="shared" si="78"/>
        <v>0</v>
      </c>
      <c r="U47" s="533">
        <f t="shared" si="78"/>
        <v>0</v>
      </c>
      <c r="V47" s="533">
        <f t="shared" si="78"/>
        <v>0</v>
      </c>
      <c r="W47" s="533">
        <f t="shared" si="78"/>
        <v>0</v>
      </c>
      <c r="X47" s="588">
        <f>AE47*P47</f>
        <v>0</v>
      </c>
      <c r="Y47" s="533">
        <f t="shared" si="79"/>
        <v>0</v>
      </c>
      <c r="Z47" s="533">
        <f t="shared" si="79"/>
        <v>0</v>
      </c>
      <c r="AA47" s="533">
        <f t="shared" si="79"/>
        <v>0</v>
      </c>
      <c r="AB47" s="533">
        <f t="shared" si="79"/>
        <v>0</v>
      </c>
      <c r="AC47" s="533">
        <f t="shared" si="79"/>
        <v>0</v>
      </c>
      <c r="AD47" s="588">
        <f>AE47*R47</f>
        <v>0</v>
      </c>
      <c r="AE47" s="481">
        <f>(1-M47)*IDDE!T75</f>
        <v>0</v>
      </c>
      <c r="AF47" s="532">
        <f>IF(G47="x",$AK47/$L47,0)</f>
        <v>1656.7646666666667</v>
      </c>
      <c r="AG47" s="533">
        <f t="shared" si="80"/>
        <v>1656.7646666666667</v>
      </c>
      <c r="AH47" s="533">
        <f t="shared" si="80"/>
        <v>1656.7646666666667</v>
      </c>
      <c r="AI47" s="533">
        <f t="shared" si="80"/>
        <v>1656.7646666666667</v>
      </c>
      <c r="AJ47" s="585">
        <f t="shared" si="80"/>
        <v>1656.7646666666667</v>
      </c>
      <c r="AK47" s="602">
        <f>AR47*P47</f>
        <v>8283.8233333333337</v>
      </c>
      <c r="AL47" s="532">
        <f t="shared" si="83"/>
        <v>0</v>
      </c>
      <c r="AM47" s="533">
        <f t="shared" si="84"/>
        <v>0</v>
      </c>
      <c r="AN47" s="533">
        <f t="shared" si="85"/>
        <v>0</v>
      </c>
      <c r="AO47" s="533">
        <f t="shared" si="86"/>
        <v>0</v>
      </c>
      <c r="AP47" s="585">
        <f t="shared" si="87"/>
        <v>0</v>
      </c>
      <c r="AQ47" s="588">
        <f>AR47*R47</f>
        <v>0</v>
      </c>
      <c r="AR47" s="600">
        <f>(1-M47)*IDDE!U75</f>
        <v>8283.8233333333337</v>
      </c>
    </row>
    <row r="48" spans="1:46" ht="15.6" x14ac:dyDescent="0.3">
      <c r="A48" s="456" t="s">
        <v>717</v>
      </c>
      <c r="B48" s="26"/>
      <c r="C48" s="457"/>
      <c r="F48" s="488" t="s">
        <v>644</v>
      </c>
      <c r="G48" s="456"/>
      <c r="H48" s="26"/>
      <c r="I48" s="26"/>
      <c r="J48" s="26"/>
      <c r="K48" s="457"/>
      <c r="L48" s="580"/>
      <c r="M48" s="618"/>
      <c r="N48" s="590">
        <f>SUM(N49:N50)</f>
        <v>140</v>
      </c>
      <c r="O48" s="591">
        <f>SUM(O49:O50)</f>
        <v>240</v>
      </c>
      <c r="P48" s="619"/>
      <c r="Q48" s="620"/>
      <c r="R48" s="621"/>
      <c r="S48" s="622"/>
      <c r="T48" s="623"/>
      <c r="U48" s="623"/>
      <c r="V48" s="623"/>
      <c r="W48" s="624"/>
      <c r="X48" s="593">
        <f>SUM(X49:X50)</f>
        <v>14000</v>
      </c>
      <c r="Y48" s="622"/>
      <c r="Z48" s="623"/>
      <c r="AA48" s="623"/>
      <c r="AB48" s="623"/>
      <c r="AC48" s="624"/>
      <c r="AD48" s="593">
        <f>SUM(AD49:AD50)</f>
        <v>0</v>
      </c>
      <c r="AE48" s="593">
        <f>SUM(AE49:AE50)</f>
        <v>14000</v>
      </c>
      <c r="AF48" s="456"/>
      <c r="AG48" s="26"/>
      <c r="AH48" s="26"/>
      <c r="AI48" s="26"/>
      <c r="AJ48" s="457"/>
      <c r="AK48" s="603">
        <f>SUM(AK49:AK50)</f>
        <v>24000</v>
      </c>
      <c r="AL48" s="456"/>
      <c r="AM48" s="26"/>
      <c r="AN48" s="26"/>
      <c r="AO48" s="26"/>
      <c r="AP48" s="457"/>
      <c r="AQ48" s="593">
        <f>SUM(AQ49:AQ50)</f>
        <v>0</v>
      </c>
      <c r="AR48" s="593">
        <f>SUM(AR49:AR50)</f>
        <v>24000</v>
      </c>
    </row>
    <row r="49" spans="1:44" ht="15.6" x14ac:dyDescent="0.3">
      <c r="A49" s="456" t="s">
        <v>718</v>
      </c>
      <c r="B49" s="26"/>
      <c r="C49" s="457"/>
      <c r="F49" t="s">
        <v>698</v>
      </c>
      <c r="G49" s="456" t="s">
        <v>91</v>
      </c>
      <c r="H49" s="26" t="s">
        <v>91</v>
      </c>
      <c r="I49" s="26" t="s">
        <v>91</v>
      </c>
      <c r="J49" s="26" t="s">
        <v>91</v>
      </c>
      <c r="K49" s="457" t="s">
        <v>91</v>
      </c>
      <c r="L49" s="580">
        <f t="shared" ref="L49:L54" si="88">COUNTIF(G49:K49, "x")</f>
        <v>5</v>
      </c>
      <c r="M49" s="573">
        <v>0</v>
      </c>
      <c r="N49" s="582">
        <f>'Construction Site Control'!T27</f>
        <v>120</v>
      </c>
      <c r="O49" s="583">
        <f>'Construction Site Control'!U27</f>
        <v>200</v>
      </c>
      <c r="P49" s="566">
        <f t="shared" ref="P49:P50" si="89">1-(Q49+R49)</f>
        <v>1</v>
      </c>
      <c r="Q49" s="496"/>
      <c r="R49" s="498"/>
      <c r="S49" s="532">
        <f t="shared" ref="S49:W50" si="90">IF(G49="x",$X49/$L49,0)</f>
        <v>2400</v>
      </c>
      <c r="T49" s="533">
        <f t="shared" si="90"/>
        <v>2400</v>
      </c>
      <c r="U49" s="533">
        <f t="shared" si="90"/>
        <v>2400</v>
      </c>
      <c r="V49" s="533">
        <f t="shared" si="90"/>
        <v>2400</v>
      </c>
      <c r="W49" s="533">
        <f t="shared" si="90"/>
        <v>2400</v>
      </c>
      <c r="X49" s="588">
        <f>AE49*P49</f>
        <v>12000</v>
      </c>
      <c r="Y49" s="533">
        <f t="shared" ref="Y49:AC50" si="91">IF(G49="x",$AD49/$L49,0)</f>
        <v>0</v>
      </c>
      <c r="Z49" s="533">
        <f t="shared" si="91"/>
        <v>0</v>
      </c>
      <c r="AA49" s="533">
        <f t="shared" si="91"/>
        <v>0</v>
      </c>
      <c r="AB49" s="533">
        <f t="shared" si="91"/>
        <v>0</v>
      </c>
      <c r="AC49" s="533">
        <f t="shared" si="91"/>
        <v>0</v>
      </c>
      <c r="AD49" s="588">
        <f>AE49*R49</f>
        <v>0</v>
      </c>
      <c r="AE49" s="631">
        <f>(1-M49)*'Construction Site Control'!R27</f>
        <v>12000</v>
      </c>
      <c r="AF49" s="532">
        <f>IF(G49="x",$AK49/$L49,0)</f>
        <v>4000</v>
      </c>
      <c r="AG49" s="533">
        <f t="shared" ref="AG49:AJ49" si="92">IF(H49="x",$AK49/$L49,0)</f>
        <v>4000</v>
      </c>
      <c r="AH49" s="533">
        <f t="shared" si="92"/>
        <v>4000</v>
      </c>
      <c r="AI49" s="533">
        <f t="shared" si="92"/>
        <v>4000</v>
      </c>
      <c r="AJ49" s="585">
        <f t="shared" si="92"/>
        <v>4000</v>
      </c>
      <c r="AK49" s="602">
        <f>AR49*P49</f>
        <v>20000</v>
      </c>
      <c r="AL49" s="532">
        <f t="shared" ref="AL49:AL50" si="93">IF($G49="x",$AQ49/$L49,0)</f>
        <v>0</v>
      </c>
      <c r="AM49" s="533">
        <f t="shared" ref="AM49:AM50" si="94">IF(H49="x",$AQ49/$L49,0)</f>
        <v>0</v>
      </c>
      <c r="AN49" s="533">
        <f t="shared" ref="AN49:AN50" si="95">IF(I49="x",$AQ49/$L49,0)</f>
        <v>0</v>
      </c>
      <c r="AO49" s="533">
        <f t="shared" ref="AO49:AO50" si="96">IF(J49="x",$AQ49/$L49,0)</f>
        <v>0</v>
      </c>
      <c r="AP49" s="585">
        <f t="shared" ref="AP49:AP50" si="97">IF(K49="x",$AQ49/$L49,0)</f>
        <v>0</v>
      </c>
      <c r="AQ49" s="588">
        <f>AR49*R49</f>
        <v>0</v>
      </c>
      <c r="AR49" s="600">
        <f>(1-M49)*'Construction Site Control'!S27</f>
        <v>20000</v>
      </c>
    </row>
    <row r="50" spans="1:44" ht="15.6" x14ac:dyDescent="0.3">
      <c r="A50" s="456" t="s">
        <v>719</v>
      </c>
      <c r="B50" s="26"/>
      <c r="C50" s="457"/>
      <c r="F50" t="s">
        <v>332</v>
      </c>
      <c r="G50" s="456" t="s">
        <v>91</v>
      </c>
      <c r="H50" s="26" t="s">
        <v>91</v>
      </c>
      <c r="I50" s="26" t="s">
        <v>91</v>
      </c>
      <c r="J50" s="26" t="s">
        <v>91</v>
      </c>
      <c r="K50" s="457" t="s">
        <v>91</v>
      </c>
      <c r="L50" s="580">
        <f t="shared" si="88"/>
        <v>5</v>
      </c>
      <c r="M50" s="573">
        <v>0</v>
      </c>
      <c r="N50" s="582">
        <f>'Construction Site Control'!T28</f>
        <v>20</v>
      </c>
      <c r="O50" s="583">
        <f>'Construction Site Control'!U28</f>
        <v>40</v>
      </c>
      <c r="P50" s="566">
        <f t="shared" si="89"/>
        <v>1</v>
      </c>
      <c r="Q50" s="496"/>
      <c r="R50" s="498"/>
      <c r="S50" s="532">
        <f t="shared" si="90"/>
        <v>400</v>
      </c>
      <c r="T50" s="533">
        <f t="shared" si="90"/>
        <v>400</v>
      </c>
      <c r="U50" s="533">
        <f t="shared" si="90"/>
        <v>400</v>
      </c>
      <c r="V50" s="533">
        <f t="shared" si="90"/>
        <v>400</v>
      </c>
      <c r="W50" s="533">
        <f t="shared" si="90"/>
        <v>400</v>
      </c>
      <c r="X50" s="588">
        <f>AE50*P50</f>
        <v>2000</v>
      </c>
      <c r="Y50" s="533">
        <f t="shared" si="91"/>
        <v>0</v>
      </c>
      <c r="Z50" s="533">
        <f t="shared" si="91"/>
        <v>0</v>
      </c>
      <c r="AA50" s="533">
        <f t="shared" si="91"/>
        <v>0</v>
      </c>
      <c r="AB50" s="533">
        <f t="shared" si="91"/>
        <v>0</v>
      </c>
      <c r="AC50" s="533">
        <f t="shared" si="91"/>
        <v>0</v>
      </c>
      <c r="AD50" s="588">
        <f>AE50*R50</f>
        <v>0</v>
      </c>
      <c r="AE50" s="631">
        <f>(1-M50)*'Construction Site Control'!R28</f>
        <v>2000</v>
      </c>
      <c r="AF50" s="532">
        <f>IF(G50="x",$AK50/$L50,0)</f>
        <v>800</v>
      </c>
      <c r="AG50" s="533">
        <f t="shared" ref="AG50:AJ50" si="98">IF(H50="x",$AK50/$L50,0)</f>
        <v>800</v>
      </c>
      <c r="AH50" s="533">
        <f t="shared" si="98"/>
        <v>800</v>
      </c>
      <c r="AI50" s="533">
        <f t="shared" si="98"/>
        <v>800</v>
      </c>
      <c r="AJ50" s="585">
        <f t="shared" si="98"/>
        <v>800</v>
      </c>
      <c r="AK50" s="602">
        <f>AR50*P50</f>
        <v>4000</v>
      </c>
      <c r="AL50" s="532">
        <f t="shared" si="93"/>
        <v>0</v>
      </c>
      <c r="AM50" s="533">
        <f t="shared" si="94"/>
        <v>0</v>
      </c>
      <c r="AN50" s="533">
        <f t="shared" si="95"/>
        <v>0</v>
      </c>
      <c r="AO50" s="533">
        <f t="shared" si="96"/>
        <v>0</v>
      </c>
      <c r="AP50" s="585">
        <f t="shared" si="97"/>
        <v>0</v>
      </c>
      <c r="AQ50" s="588">
        <f>AR50*R50</f>
        <v>0</v>
      </c>
      <c r="AR50" s="600">
        <f>(1-M50)*'Construction Site Control'!S28</f>
        <v>4000</v>
      </c>
    </row>
    <row r="51" spans="1:44" ht="16.2" thickBot="1" x14ac:dyDescent="0.35">
      <c r="A51" s="458" t="s">
        <v>720</v>
      </c>
      <c r="B51" s="461"/>
      <c r="C51" s="460"/>
      <c r="F51" s="488" t="s">
        <v>648</v>
      </c>
      <c r="G51" s="577"/>
      <c r="H51" s="578"/>
      <c r="I51" s="578"/>
      <c r="J51" s="578"/>
      <c r="K51" s="579"/>
      <c r="L51" s="580"/>
      <c r="M51" s="618"/>
      <c r="N51" s="590">
        <f>SUM(N52:N54)</f>
        <v>0</v>
      </c>
      <c r="O51" s="591">
        <f>SUM(O52:O54)</f>
        <v>52</v>
      </c>
      <c r="P51" s="619"/>
      <c r="Q51" s="620"/>
      <c r="R51" s="621"/>
      <c r="S51" s="622"/>
      <c r="T51" s="623"/>
      <c r="U51" s="623"/>
      <c r="V51" s="623"/>
      <c r="W51" s="624"/>
      <c r="X51" s="593">
        <f>SUM(X52:X54)</f>
        <v>5400</v>
      </c>
      <c r="Y51" s="622"/>
      <c r="Z51" s="623"/>
      <c r="AA51" s="623"/>
      <c r="AB51" s="623"/>
      <c r="AC51" s="624"/>
      <c r="AD51" s="593">
        <f>SUM(AD52:AD54)</f>
        <v>0</v>
      </c>
      <c r="AE51" s="593">
        <f>SUM(AE52:AE54)</f>
        <v>5400</v>
      </c>
      <c r="AF51" s="456"/>
      <c r="AG51" s="26"/>
      <c r="AH51" s="26"/>
      <c r="AI51" s="26"/>
      <c r="AJ51" s="457"/>
      <c r="AK51" s="601">
        <f>SUM(AK52:AK54)</f>
        <v>14500</v>
      </c>
      <c r="AL51" s="485"/>
      <c r="AM51" s="486"/>
      <c r="AN51" s="486"/>
      <c r="AO51" s="486"/>
      <c r="AP51" s="487"/>
      <c r="AQ51" s="592">
        <f>SUM(AQ52:AQ54)</f>
        <v>0</v>
      </c>
      <c r="AR51" s="593">
        <f>SUM(AR52:AR54)</f>
        <v>14500</v>
      </c>
    </row>
    <row r="52" spans="1:44" ht="16.2" thickBot="1" x14ac:dyDescent="0.35">
      <c r="F52" t="s">
        <v>699</v>
      </c>
      <c r="G52" s="456"/>
      <c r="H52" s="26" t="s">
        <v>91</v>
      </c>
      <c r="I52" s="26" t="s">
        <v>91</v>
      </c>
      <c r="J52" s="26" t="s">
        <v>91</v>
      </c>
      <c r="K52" s="457" t="s">
        <v>91</v>
      </c>
      <c r="L52" s="580">
        <f t="shared" si="88"/>
        <v>4</v>
      </c>
      <c r="M52" s="573">
        <v>0</v>
      </c>
      <c r="N52" s="582">
        <f>'Good Housekeeping'!T45</f>
        <v>0</v>
      </c>
      <c r="O52" s="583">
        <f>'Good Housekeeping'!U45</f>
        <v>12.000000000000002</v>
      </c>
      <c r="P52" s="566">
        <f t="shared" ref="P52:P53" si="99">1-(Q52+R52)</f>
        <v>1</v>
      </c>
      <c r="Q52" s="496"/>
      <c r="R52" s="498"/>
      <c r="S52" s="532">
        <f t="shared" ref="S52:W54" si="100">IF(G52="x",$X52/$L52,0)</f>
        <v>0</v>
      </c>
      <c r="T52" s="533">
        <f t="shared" si="100"/>
        <v>0</v>
      </c>
      <c r="U52" s="533">
        <f t="shared" si="100"/>
        <v>0</v>
      </c>
      <c r="V52" s="533">
        <f t="shared" si="100"/>
        <v>0</v>
      </c>
      <c r="W52" s="533">
        <f t="shared" si="100"/>
        <v>0</v>
      </c>
      <c r="X52" s="588">
        <f>AE52*P52</f>
        <v>0</v>
      </c>
      <c r="Y52" s="533">
        <f t="shared" ref="Y52:AC54" si="101">IF(G52="x",$AD52/$L52,0)</f>
        <v>0</v>
      </c>
      <c r="Z52" s="533">
        <f t="shared" si="101"/>
        <v>0</v>
      </c>
      <c r="AA52" s="533">
        <f t="shared" si="101"/>
        <v>0</v>
      </c>
      <c r="AB52" s="533">
        <f t="shared" si="101"/>
        <v>0</v>
      </c>
      <c r="AC52" s="533">
        <f t="shared" si="101"/>
        <v>0</v>
      </c>
      <c r="AD52" s="588">
        <f>AE52*R52</f>
        <v>0</v>
      </c>
      <c r="AE52" s="630">
        <f>(1-M52)*'Good Housekeeping'!R45</f>
        <v>0</v>
      </c>
      <c r="AF52" s="532">
        <f t="shared" ref="AF52:AJ53" si="102">IF(G52="x",$AK52/$L52,0)</f>
        <v>0</v>
      </c>
      <c r="AG52" s="533">
        <f t="shared" si="102"/>
        <v>300.00000000000006</v>
      </c>
      <c r="AH52" s="533">
        <f t="shared" si="102"/>
        <v>300.00000000000006</v>
      </c>
      <c r="AI52" s="533">
        <f t="shared" si="102"/>
        <v>300.00000000000006</v>
      </c>
      <c r="AJ52" s="585">
        <f t="shared" si="102"/>
        <v>300.00000000000006</v>
      </c>
      <c r="AK52" s="602">
        <f>AR52*P52</f>
        <v>1200.0000000000002</v>
      </c>
      <c r="AL52" s="532">
        <f t="shared" ref="AL52:AL54" si="103">IF($G52="x",$AQ52/$L52,0)</f>
        <v>0</v>
      </c>
      <c r="AM52" s="533">
        <f t="shared" ref="AM52:AM54" si="104">IF(H52="x",$AQ52/$L52,0)</f>
        <v>0</v>
      </c>
      <c r="AN52" s="533">
        <f t="shared" ref="AN52:AN54" si="105">IF(I52="x",$AQ52/$L52,0)</f>
        <v>0</v>
      </c>
      <c r="AO52" s="533">
        <f t="shared" ref="AO52:AO54" si="106">IF(J52="x",$AQ52/$L52,0)</f>
        <v>0</v>
      </c>
      <c r="AP52" s="585">
        <f t="shared" ref="AP52:AP54" si="107">IF(K52="x",$AQ52/$L52,0)</f>
        <v>0</v>
      </c>
      <c r="AQ52" s="588">
        <f>AR52*R52</f>
        <v>0</v>
      </c>
      <c r="AR52" s="600">
        <f>(1-M52)*'Good Housekeeping'!S45</f>
        <v>1200.0000000000002</v>
      </c>
    </row>
    <row r="53" spans="1:44" ht="15.6" x14ac:dyDescent="0.3">
      <c r="A53" s="639" t="s">
        <v>693</v>
      </c>
      <c r="B53" s="454"/>
      <c r="C53" s="455"/>
      <c r="F53" t="s">
        <v>700</v>
      </c>
      <c r="G53" s="456"/>
      <c r="H53" s="26" t="s">
        <v>91</v>
      </c>
      <c r="I53" s="26" t="s">
        <v>91</v>
      </c>
      <c r="J53" s="26" t="s">
        <v>91</v>
      </c>
      <c r="K53" s="457" t="s">
        <v>91</v>
      </c>
      <c r="L53" s="580">
        <f t="shared" si="88"/>
        <v>4</v>
      </c>
      <c r="M53" s="573">
        <v>0</v>
      </c>
      <c r="N53" s="582">
        <f>'Good Housekeeping'!T46</f>
        <v>0</v>
      </c>
      <c r="O53" s="583">
        <f>'Good Housekeeping'!U46</f>
        <v>40</v>
      </c>
      <c r="P53" s="566">
        <f t="shared" si="99"/>
        <v>1</v>
      </c>
      <c r="Q53" s="496"/>
      <c r="R53" s="498"/>
      <c r="S53" s="532">
        <f t="shared" si="100"/>
        <v>0</v>
      </c>
      <c r="T53" s="533">
        <f t="shared" si="100"/>
        <v>0</v>
      </c>
      <c r="U53" s="533">
        <f t="shared" si="100"/>
        <v>0</v>
      </c>
      <c r="V53" s="533">
        <f t="shared" si="100"/>
        <v>0</v>
      </c>
      <c r="W53" s="533">
        <f t="shared" si="100"/>
        <v>0</v>
      </c>
      <c r="X53" s="588">
        <f>AE53*P53</f>
        <v>0</v>
      </c>
      <c r="Y53" s="533">
        <f t="shared" si="101"/>
        <v>0</v>
      </c>
      <c r="Z53" s="533">
        <f t="shared" si="101"/>
        <v>0</v>
      </c>
      <c r="AA53" s="533">
        <f t="shared" si="101"/>
        <v>0</v>
      </c>
      <c r="AB53" s="533">
        <f t="shared" si="101"/>
        <v>0</v>
      </c>
      <c r="AC53" s="533">
        <f t="shared" si="101"/>
        <v>0</v>
      </c>
      <c r="AD53" s="588">
        <f>AE53*R53</f>
        <v>0</v>
      </c>
      <c r="AE53" s="630">
        <f>(1-M53)*'Good Housekeeping'!R46</f>
        <v>0</v>
      </c>
      <c r="AF53" s="532">
        <f t="shared" si="102"/>
        <v>0</v>
      </c>
      <c r="AG53" s="533">
        <f t="shared" si="102"/>
        <v>1000</v>
      </c>
      <c r="AH53" s="533">
        <f t="shared" si="102"/>
        <v>1000</v>
      </c>
      <c r="AI53" s="533">
        <f t="shared" si="102"/>
        <v>1000</v>
      </c>
      <c r="AJ53" s="585">
        <f t="shared" si="102"/>
        <v>1000</v>
      </c>
      <c r="AK53" s="602">
        <f>AR53*P53</f>
        <v>4000</v>
      </c>
      <c r="AL53" s="532">
        <f t="shared" si="103"/>
        <v>0</v>
      </c>
      <c r="AM53" s="533">
        <f t="shared" si="104"/>
        <v>0</v>
      </c>
      <c r="AN53" s="533">
        <f t="shared" si="105"/>
        <v>0</v>
      </c>
      <c r="AO53" s="533">
        <f t="shared" si="106"/>
        <v>0</v>
      </c>
      <c r="AP53" s="585">
        <f t="shared" si="107"/>
        <v>0</v>
      </c>
      <c r="AQ53" s="588">
        <f>AR53*R53</f>
        <v>0</v>
      </c>
      <c r="AR53" s="600">
        <f>(1-M53)*'Good Housekeeping'!S46</f>
        <v>4000</v>
      </c>
    </row>
    <row r="54" spans="1:44" ht="29.4" thickBot="1" x14ac:dyDescent="0.35">
      <c r="A54" s="456"/>
      <c r="B54" s="26"/>
      <c r="C54" s="457"/>
      <c r="F54" s="7" t="s">
        <v>764</v>
      </c>
      <c r="G54" s="458"/>
      <c r="H54" s="459" t="s">
        <v>91</v>
      </c>
      <c r="I54" s="459" t="s">
        <v>91</v>
      </c>
      <c r="J54" s="459" t="s">
        <v>91</v>
      </c>
      <c r="K54" s="460" t="s">
        <v>91</v>
      </c>
      <c r="L54" s="530">
        <f t="shared" si="88"/>
        <v>4</v>
      </c>
      <c r="M54" s="573">
        <v>0</v>
      </c>
      <c r="N54" s="635">
        <f>'Good Housekeeping'!T70</f>
        <v>0</v>
      </c>
      <c r="O54" s="636">
        <f>'Good Housekeeping'!U70</f>
        <v>0</v>
      </c>
      <c r="P54" s="567">
        <f>1-(Q54+R54)</f>
        <v>1</v>
      </c>
      <c r="Q54" s="499"/>
      <c r="R54" s="500"/>
      <c r="S54" s="534">
        <f t="shared" si="100"/>
        <v>0</v>
      </c>
      <c r="T54" s="535">
        <f t="shared" si="100"/>
        <v>1350</v>
      </c>
      <c r="U54" s="535">
        <f t="shared" si="100"/>
        <v>1350</v>
      </c>
      <c r="V54" s="535">
        <f t="shared" si="100"/>
        <v>1350</v>
      </c>
      <c r="W54" s="535">
        <f t="shared" si="100"/>
        <v>1350</v>
      </c>
      <c r="X54" s="588">
        <f>AE54*P54</f>
        <v>5400</v>
      </c>
      <c r="Y54" s="535">
        <f t="shared" si="101"/>
        <v>0</v>
      </c>
      <c r="Z54" s="535">
        <f t="shared" si="101"/>
        <v>0</v>
      </c>
      <c r="AA54" s="535">
        <f t="shared" si="101"/>
        <v>0</v>
      </c>
      <c r="AB54" s="535">
        <f t="shared" si="101"/>
        <v>0</v>
      </c>
      <c r="AC54" s="535">
        <f t="shared" si="101"/>
        <v>0</v>
      </c>
      <c r="AD54" s="598">
        <f>AE54*R54</f>
        <v>0</v>
      </c>
      <c r="AE54" s="632">
        <f>0.2*AE28</f>
        <v>5400</v>
      </c>
      <c r="AF54" s="534">
        <f>IF(G54="x",$AK54/$L54,0)</f>
        <v>0</v>
      </c>
      <c r="AG54" s="535">
        <f t="shared" ref="AG54:AJ54" si="108">IF(H54="x",$AK54/$L54,0)</f>
        <v>2325</v>
      </c>
      <c r="AH54" s="535">
        <f t="shared" si="108"/>
        <v>2325</v>
      </c>
      <c r="AI54" s="535">
        <f t="shared" si="108"/>
        <v>2325</v>
      </c>
      <c r="AJ54" s="586">
        <f t="shared" si="108"/>
        <v>2325</v>
      </c>
      <c r="AK54" s="604">
        <f>AR54*P54</f>
        <v>9300</v>
      </c>
      <c r="AL54" s="534">
        <f t="shared" si="103"/>
        <v>0</v>
      </c>
      <c r="AM54" s="535">
        <f t="shared" si="104"/>
        <v>0</v>
      </c>
      <c r="AN54" s="535">
        <f t="shared" si="105"/>
        <v>0</v>
      </c>
      <c r="AO54" s="535">
        <f t="shared" si="106"/>
        <v>0</v>
      </c>
      <c r="AP54" s="586">
        <f t="shared" si="107"/>
        <v>0</v>
      </c>
      <c r="AQ54" s="598">
        <f>AR54*R54</f>
        <v>0</v>
      </c>
      <c r="AR54" s="632">
        <f>0.2*AR28</f>
        <v>9300</v>
      </c>
    </row>
    <row r="55" spans="1:44" x14ac:dyDescent="0.3">
      <c r="A55" s="456"/>
      <c r="B55" s="26"/>
      <c r="C55" s="457"/>
    </row>
    <row r="56" spans="1:44" ht="15" thickBot="1" x14ac:dyDescent="0.35">
      <c r="A56" s="456"/>
      <c r="B56" s="26"/>
      <c r="C56" s="457"/>
    </row>
    <row r="57" spans="1:44" ht="15" thickBot="1" x14ac:dyDescent="0.35">
      <c r="A57" s="458"/>
      <c r="B57" s="459"/>
      <c r="C57" s="460"/>
      <c r="G57" s="656" t="s">
        <v>731</v>
      </c>
      <c r="H57" s="657"/>
      <c r="I57" s="657"/>
      <c r="J57" s="657"/>
      <c r="K57" s="658"/>
      <c r="L57" s="662" t="s">
        <v>742</v>
      </c>
      <c r="M57" s="574" t="s">
        <v>712</v>
      </c>
      <c r="N57" s="656" t="s">
        <v>657</v>
      </c>
      <c r="O57" s="658"/>
      <c r="P57" s="664" t="s">
        <v>658</v>
      </c>
      <c r="Q57" s="666"/>
      <c r="R57" s="665"/>
      <c r="S57" s="667" t="s">
        <v>743</v>
      </c>
      <c r="T57" s="668"/>
      <c r="U57" s="668"/>
      <c r="V57" s="668"/>
      <c r="W57" s="668"/>
      <c r="X57" s="668"/>
      <c r="Y57" s="668"/>
      <c r="Z57" s="668"/>
      <c r="AA57" s="668"/>
      <c r="AB57" s="668"/>
      <c r="AC57" s="668"/>
      <c r="AD57" s="668"/>
      <c r="AE57" s="669"/>
      <c r="AF57" s="670" t="s">
        <v>744</v>
      </c>
      <c r="AG57" s="671"/>
      <c r="AH57" s="671"/>
      <c r="AI57" s="671"/>
      <c r="AJ57" s="671"/>
      <c r="AK57" s="671"/>
      <c r="AL57" s="671"/>
      <c r="AM57" s="671"/>
      <c r="AN57" s="671"/>
      <c r="AO57" s="671"/>
      <c r="AP57" s="671"/>
      <c r="AQ57" s="671"/>
      <c r="AR57" s="672"/>
    </row>
    <row r="58" spans="1:44" ht="18" x14ac:dyDescent="0.35">
      <c r="F58" s="594" t="s">
        <v>701</v>
      </c>
      <c r="G58" s="659"/>
      <c r="H58" s="660"/>
      <c r="I58" s="660"/>
      <c r="J58" s="660"/>
      <c r="K58" s="661"/>
      <c r="L58" s="663"/>
      <c r="M58" s="575"/>
      <c r="N58" s="659"/>
      <c r="O58" s="661"/>
      <c r="P58" s="527"/>
      <c r="Q58" s="529"/>
      <c r="R58" s="528"/>
      <c r="S58" s="667" t="s">
        <v>752</v>
      </c>
      <c r="T58" s="668"/>
      <c r="U58" s="668"/>
      <c r="V58" s="668"/>
      <c r="W58" s="669"/>
      <c r="X58" s="539"/>
      <c r="Y58" s="667" t="s">
        <v>755</v>
      </c>
      <c r="Z58" s="668"/>
      <c r="AA58" s="668"/>
      <c r="AB58" s="668"/>
      <c r="AC58" s="669"/>
      <c r="AD58" s="539"/>
      <c r="AE58" s="589"/>
      <c r="AF58" s="670" t="s">
        <v>753</v>
      </c>
      <c r="AG58" s="671"/>
      <c r="AH58" s="671"/>
      <c r="AI58" s="671"/>
      <c r="AJ58" s="672"/>
      <c r="AK58" s="542"/>
      <c r="AL58" s="670" t="s">
        <v>756</v>
      </c>
      <c r="AM58" s="671"/>
      <c r="AN58" s="671"/>
      <c r="AO58" s="671"/>
      <c r="AP58" s="672"/>
      <c r="AQ58" s="542"/>
      <c r="AR58" s="542"/>
    </row>
    <row r="59" spans="1:44" ht="15.6" x14ac:dyDescent="0.3">
      <c r="F59" s="488" t="s">
        <v>767</v>
      </c>
      <c r="G59" s="516">
        <v>1</v>
      </c>
      <c r="H59" s="565">
        <v>2</v>
      </c>
      <c r="I59" s="565">
        <v>3</v>
      </c>
      <c r="J59" s="565">
        <v>4</v>
      </c>
      <c r="K59" s="517">
        <v>5</v>
      </c>
      <c r="L59" s="576"/>
      <c r="M59" s="608"/>
      <c r="N59" s="518" t="s">
        <v>340</v>
      </c>
      <c r="O59" s="519" t="s">
        <v>341</v>
      </c>
      <c r="P59" s="518" t="s">
        <v>659</v>
      </c>
      <c r="Q59" s="520" t="s">
        <v>702</v>
      </c>
      <c r="R59" s="519" t="s">
        <v>660</v>
      </c>
      <c r="S59" s="554" t="s">
        <v>745</v>
      </c>
      <c r="T59" s="555" t="s">
        <v>746</v>
      </c>
      <c r="U59" s="555" t="s">
        <v>747</v>
      </c>
      <c r="V59" s="555" t="s">
        <v>748</v>
      </c>
      <c r="W59" s="584" t="s">
        <v>749</v>
      </c>
      <c r="X59" s="541" t="s">
        <v>659</v>
      </c>
      <c r="Y59" s="555" t="s">
        <v>745</v>
      </c>
      <c r="Z59" s="555" t="s">
        <v>746</v>
      </c>
      <c r="AA59" s="555" t="s">
        <v>747</v>
      </c>
      <c r="AB59" s="555" t="s">
        <v>748</v>
      </c>
      <c r="AC59" s="555" t="s">
        <v>749</v>
      </c>
      <c r="AD59" s="587" t="s">
        <v>660</v>
      </c>
      <c r="AE59" s="587" t="s">
        <v>741</v>
      </c>
      <c r="AF59" s="556" t="s">
        <v>745</v>
      </c>
      <c r="AG59" s="557" t="s">
        <v>746</v>
      </c>
      <c r="AH59" s="557" t="s">
        <v>747</v>
      </c>
      <c r="AI59" s="557" t="s">
        <v>748</v>
      </c>
      <c r="AJ59" s="596" t="s">
        <v>749</v>
      </c>
      <c r="AK59" s="553" t="s">
        <v>659</v>
      </c>
      <c r="AL59" s="599"/>
      <c r="AM59" s="543"/>
      <c r="AN59" s="543"/>
      <c r="AO59" s="543"/>
      <c r="AP59" s="544"/>
      <c r="AQ59" s="553" t="s">
        <v>660</v>
      </c>
      <c r="AR59" s="553" t="s">
        <v>741</v>
      </c>
    </row>
    <row r="60" spans="1:44" ht="16.2" thickBot="1" x14ac:dyDescent="0.35">
      <c r="A60" s="488" t="s">
        <v>711</v>
      </c>
      <c r="B60" s="607">
        <v>9162</v>
      </c>
      <c r="F60" t="s">
        <v>704</v>
      </c>
      <c r="G60" s="456"/>
      <c r="H60" s="26"/>
      <c r="I60" s="26"/>
      <c r="J60" s="26"/>
      <c r="K60" s="457"/>
      <c r="L60" s="580"/>
      <c r="M60" s="618"/>
      <c r="N60" s="590">
        <f>SUM(N61:N64)</f>
        <v>107.80000000000001</v>
      </c>
      <c r="O60" s="591">
        <f>SUM(O61:O64)</f>
        <v>188.20000000000002</v>
      </c>
      <c r="P60" s="619"/>
      <c r="Q60" s="620"/>
      <c r="R60" s="621"/>
      <c r="S60" s="622"/>
      <c r="T60" s="623"/>
      <c r="U60" s="623"/>
      <c r="V60" s="623"/>
      <c r="W60" s="624"/>
      <c r="X60" s="593">
        <f>SUM(X61:X64)</f>
        <v>36080</v>
      </c>
      <c r="Y60" s="622"/>
      <c r="Z60" s="623"/>
      <c r="AA60" s="623"/>
      <c r="AB60" s="623"/>
      <c r="AC60" s="624"/>
      <c r="AD60" s="593">
        <f>SUM(AD61:AD64)</f>
        <v>0</v>
      </c>
      <c r="AE60" s="593">
        <f>SUM(AE61:AE64)</f>
        <v>36080</v>
      </c>
      <c r="AF60" s="622"/>
      <c r="AG60" s="623"/>
      <c r="AH60" s="623"/>
      <c r="AI60" s="623"/>
      <c r="AJ60" s="624"/>
      <c r="AK60" s="629">
        <f>SUM(AK61:AK66)</f>
        <v>69500</v>
      </c>
      <c r="AL60" s="622"/>
      <c r="AM60" s="623"/>
      <c r="AN60" s="623"/>
      <c r="AO60" s="623"/>
      <c r="AP60" s="624"/>
      <c r="AQ60" s="605">
        <f>SUM(AQ61:AQ64)</f>
        <v>0</v>
      </c>
      <c r="AR60" s="605">
        <f>SUM(AR61:AR64)</f>
        <v>69500</v>
      </c>
    </row>
    <row r="61" spans="1:44" ht="15.6" x14ac:dyDescent="0.3">
      <c r="A61" s="480"/>
      <c r="B61" s="474" t="s">
        <v>723</v>
      </c>
      <c r="C61" s="475" t="s">
        <v>724</v>
      </c>
      <c r="F61" t="s">
        <v>705</v>
      </c>
      <c r="G61" s="456" t="s">
        <v>91</v>
      </c>
      <c r="H61" s="26" t="s">
        <v>91</v>
      </c>
      <c r="I61" s="26" t="s">
        <v>91</v>
      </c>
      <c r="J61" s="26" t="s">
        <v>91</v>
      </c>
      <c r="K61" s="457" t="s">
        <v>91</v>
      </c>
      <c r="L61" s="580">
        <f t="shared" ref="L61:L65" si="109">COUNTIF(G61:K61, "x")</f>
        <v>5</v>
      </c>
      <c r="M61" s="609">
        <v>0</v>
      </c>
      <c r="N61" s="637">
        <f>IF(B37&gt;0,0.1*N7,0)</f>
        <v>11.200000000000001</v>
      </c>
      <c r="O61" s="638">
        <f>IF(B37&gt;0,0.1*O7,0)</f>
        <v>73</v>
      </c>
      <c r="P61" s="566">
        <f t="shared" ref="P61:P64" si="110">1-(Q61+R61)</f>
        <v>1</v>
      </c>
      <c r="Q61" s="496"/>
      <c r="R61" s="498"/>
      <c r="S61" s="532">
        <f t="shared" ref="S61:S64" si="111">IF(G61="x",$X61/$L61,0)</f>
        <v>224</v>
      </c>
      <c r="T61" s="533">
        <f t="shared" ref="T61:T64" si="112">IF(H61="x",$X61/$L61,0)</f>
        <v>224</v>
      </c>
      <c r="U61" s="533">
        <f t="shared" ref="U61:U64" si="113">IF(I61="x",$X61/$L61,0)</f>
        <v>224</v>
      </c>
      <c r="V61" s="533">
        <f t="shared" ref="V61:V64" si="114">IF(J61="x",$X61/$L61,0)</f>
        <v>224</v>
      </c>
      <c r="W61" s="585">
        <f t="shared" ref="W61:W64" si="115">IF(K61="x",$X61/$L61,0)</f>
        <v>224</v>
      </c>
      <c r="X61" s="588">
        <f>AE61*P61</f>
        <v>1120</v>
      </c>
      <c r="Y61" s="532">
        <f t="shared" ref="Y61:Y64" si="116">IF(G61="x",$AD61/$L61,0)</f>
        <v>0</v>
      </c>
      <c r="Z61" s="533">
        <f t="shared" ref="Z61:Z64" si="117">IF(H61="x",$AD61/$L61,0)</f>
        <v>0</v>
      </c>
      <c r="AA61" s="533">
        <f t="shared" ref="AA61:AA64" si="118">IF(I61="x",$AD61/$L61,0)</f>
        <v>0</v>
      </c>
      <c r="AB61" s="533">
        <f t="shared" ref="AB61:AB64" si="119">IF(J61="x",$AD61/$L61,0)</f>
        <v>0</v>
      </c>
      <c r="AC61" s="585">
        <f t="shared" ref="AC61:AC64" si="120">IF(K61="x",$AD61/$L61,0)</f>
        <v>0</v>
      </c>
      <c r="AD61" s="588">
        <f>AE61*R61</f>
        <v>0</v>
      </c>
      <c r="AE61" s="611">
        <f>(1-M61)*(IF(B37&gt;0,(0.1*AE7)/(1-M7),0))</f>
        <v>1120</v>
      </c>
      <c r="AF61" s="532">
        <f t="shared" ref="AF61:AJ65" si="121">IF(G61="x",$AK61/$L61,0)</f>
        <v>1476</v>
      </c>
      <c r="AG61" s="533">
        <f t="shared" si="121"/>
        <v>1476</v>
      </c>
      <c r="AH61" s="533">
        <f t="shared" si="121"/>
        <v>1476</v>
      </c>
      <c r="AI61" s="533">
        <f t="shared" si="121"/>
        <v>1476</v>
      </c>
      <c r="AJ61" s="585">
        <f t="shared" si="121"/>
        <v>1476</v>
      </c>
      <c r="AK61" s="631">
        <f>AR61*P61</f>
        <v>7380</v>
      </c>
      <c r="AL61" s="532">
        <f>IF($G61="x",$AQ61/$L61,0)</f>
        <v>0</v>
      </c>
      <c r="AM61" s="533">
        <f>IF(H61="x",$AQ61/$L61,0)</f>
        <v>0</v>
      </c>
      <c r="AN61" s="533">
        <f t="shared" ref="AN61:AN64" si="122">IF(I61="x",$AQ61/$L61,0)</f>
        <v>0</v>
      </c>
      <c r="AO61" s="533">
        <f>IF(J61="x",$AQ61/$L61,0)</f>
        <v>0</v>
      </c>
      <c r="AP61" s="585">
        <f t="shared" ref="AP61:AP64" si="123">IF(K61="x",$AQ61/$L61,0)</f>
        <v>0</v>
      </c>
      <c r="AQ61" s="588">
        <f>AR61*R61</f>
        <v>0</v>
      </c>
      <c r="AR61" s="611">
        <f>(1-M61)*(IF(B37&gt;0,(0.1*AR7)/(1-M7),0))</f>
        <v>7380</v>
      </c>
    </row>
    <row r="62" spans="1:44" ht="15.6" x14ac:dyDescent="0.3">
      <c r="A62" s="481" t="s">
        <v>725</v>
      </c>
      <c r="B62" s="476">
        <v>5.18</v>
      </c>
      <c r="C62" s="477">
        <f>B60*B62*60</f>
        <v>2847549.5999999996</v>
      </c>
      <c r="F62" t="s">
        <v>706</v>
      </c>
      <c r="G62" s="456" t="s">
        <v>91</v>
      </c>
      <c r="H62" s="26" t="s">
        <v>91</v>
      </c>
      <c r="I62" s="26" t="s">
        <v>91</v>
      </c>
      <c r="J62" s="26" t="s">
        <v>91</v>
      </c>
      <c r="K62" s="457" t="s">
        <v>91</v>
      </c>
      <c r="L62" s="580">
        <f t="shared" si="109"/>
        <v>5</v>
      </c>
      <c r="M62" s="609">
        <v>0</v>
      </c>
      <c r="N62" s="637">
        <f>IF(B37&gt;0,0.1*N20,0)</f>
        <v>62.2</v>
      </c>
      <c r="O62" s="638">
        <f>IF(B37&gt;0,0.1*O20,0)</f>
        <v>76.400000000000006</v>
      </c>
      <c r="P62" s="566">
        <f t="shared" si="110"/>
        <v>1</v>
      </c>
      <c r="Q62" s="496"/>
      <c r="R62" s="498"/>
      <c r="S62" s="532">
        <f t="shared" si="111"/>
        <v>1304</v>
      </c>
      <c r="T62" s="533">
        <f t="shared" si="112"/>
        <v>1304</v>
      </c>
      <c r="U62" s="533">
        <f t="shared" si="113"/>
        <v>1304</v>
      </c>
      <c r="V62" s="533">
        <f t="shared" si="114"/>
        <v>1304</v>
      </c>
      <c r="W62" s="585">
        <f t="shared" si="115"/>
        <v>1304</v>
      </c>
      <c r="X62" s="588">
        <f>AE62*P62</f>
        <v>6520</v>
      </c>
      <c r="Y62" s="532">
        <f t="shared" si="116"/>
        <v>0</v>
      </c>
      <c r="Z62" s="533">
        <f t="shared" si="117"/>
        <v>0</v>
      </c>
      <c r="AA62" s="533">
        <f t="shared" si="118"/>
        <v>0</v>
      </c>
      <c r="AB62" s="533">
        <f t="shared" si="119"/>
        <v>0</v>
      </c>
      <c r="AC62" s="585">
        <f t="shared" si="120"/>
        <v>0</v>
      </c>
      <c r="AD62" s="588">
        <f>AE62*R62</f>
        <v>0</v>
      </c>
      <c r="AE62" s="611">
        <f>(1-M62)*(IF(B37&gt;0,0.1*((AE21/(1-M231))+(AE22/(1-M22))+(AE23/(1-M23))),0))</f>
        <v>6520</v>
      </c>
      <c r="AF62" s="532">
        <f t="shared" si="121"/>
        <v>1648</v>
      </c>
      <c r="AG62" s="533">
        <f t="shared" si="121"/>
        <v>1648</v>
      </c>
      <c r="AH62" s="533">
        <f t="shared" si="121"/>
        <v>1648</v>
      </c>
      <c r="AI62" s="533">
        <f t="shared" si="121"/>
        <v>1648</v>
      </c>
      <c r="AJ62" s="585">
        <f t="shared" si="121"/>
        <v>1648</v>
      </c>
      <c r="AK62" s="631">
        <f>AR62*P62</f>
        <v>8240</v>
      </c>
      <c r="AL62" s="532">
        <f t="shared" ref="AL62:AL65" si="124">IF($G62="x",$AQ62/$L62,0)</f>
        <v>0</v>
      </c>
      <c r="AM62" s="533">
        <f t="shared" ref="AM62:AM64" si="125">IF(H62="x",$AQ62/$L62,0)</f>
        <v>0</v>
      </c>
      <c r="AN62" s="533">
        <f t="shared" si="122"/>
        <v>0</v>
      </c>
      <c r="AO62" s="533">
        <f t="shared" ref="AO62:AO64" si="126">IF(J62="x",$AQ62/$L62,0)</f>
        <v>0</v>
      </c>
      <c r="AP62" s="585">
        <f t="shared" si="123"/>
        <v>0</v>
      </c>
      <c r="AQ62" s="588">
        <f>AR62*R62</f>
        <v>0</v>
      </c>
      <c r="AR62" s="611">
        <f>(1-M62)*(IF(B37&gt;0,0.1*((AR21/(1-M231))+(AR22/(1-M22))+(AR23/(1-M23))),0))</f>
        <v>8240</v>
      </c>
    </row>
    <row r="63" spans="1:44" ht="15.6" x14ac:dyDescent="0.3">
      <c r="A63" s="481" t="s">
        <v>726</v>
      </c>
      <c r="B63" s="476">
        <v>4</v>
      </c>
      <c r="C63" s="477">
        <f>B60*B63*60</f>
        <v>2198880</v>
      </c>
      <c r="F63" t="s">
        <v>707</v>
      </c>
      <c r="G63" s="456" t="s">
        <v>91</v>
      </c>
      <c r="H63" s="26" t="s">
        <v>91</v>
      </c>
      <c r="I63" s="26" t="s">
        <v>91</v>
      </c>
      <c r="J63" s="26" t="s">
        <v>91</v>
      </c>
      <c r="K63" s="457" t="s">
        <v>91</v>
      </c>
      <c r="L63" s="580">
        <f t="shared" si="109"/>
        <v>5</v>
      </c>
      <c r="M63" s="609">
        <v>0</v>
      </c>
      <c r="N63" s="637">
        <f>IF(B37&gt;0,0.1*N25,0)</f>
        <v>34.4</v>
      </c>
      <c r="O63" s="638">
        <f>IF(B37&gt;0,0.1*O25,0)</f>
        <v>38.800000000000004</v>
      </c>
      <c r="P63" s="566">
        <f t="shared" si="110"/>
        <v>1</v>
      </c>
      <c r="Q63" s="496"/>
      <c r="R63" s="498"/>
      <c r="S63" s="532">
        <f t="shared" si="111"/>
        <v>688</v>
      </c>
      <c r="T63" s="533">
        <f t="shared" si="112"/>
        <v>688</v>
      </c>
      <c r="U63" s="533">
        <f t="shared" si="113"/>
        <v>688</v>
      </c>
      <c r="V63" s="533">
        <f t="shared" si="114"/>
        <v>688</v>
      </c>
      <c r="W63" s="585">
        <f t="shared" si="115"/>
        <v>688</v>
      </c>
      <c r="X63" s="588">
        <f>AE63*P63</f>
        <v>3440</v>
      </c>
      <c r="Y63" s="532">
        <f t="shared" si="116"/>
        <v>0</v>
      </c>
      <c r="Z63" s="533">
        <f t="shared" si="117"/>
        <v>0</v>
      </c>
      <c r="AA63" s="533">
        <f t="shared" si="118"/>
        <v>0</v>
      </c>
      <c r="AB63" s="533">
        <f t="shared" si="119"/>
        <v>0</v>
      </c>
      <c r="AC63" s="585">
        <f t="shared" si="120"/>
        <v>0</v>
      </c>
      <c r="AD63" s="588">
        <f>AE63*R63</f>
        <v>0</v>
      </c>
      <c r="AE63" s="611">
        <f>(1-M63)*(IF(B37&gt;0,(0.1*AE25)/(1-M25),0))</f>
        <v>3440</v>
      </c>
      <c r="AF63" s="532">
        <f t="shared" si="121"/>
        <v>776</v>
      </c>
      <c r="AG63" s="533">
        <f t="shared" si="121"/>
        <v>776</v>
      </c>
      <c r="AH63" s="533">
        <f t="shared" si="121"/>
        <v>776</v>
      </c>
      <c r="AI63" s="533">
        <f t="shared" si="121"/>
        <v>776</v>
      </c>
      <c r="AJ63" s="585">
        <f t="shared" si="121"/>
        <v>776</v>
      </c>
      <c r="AK63" s="631">
        <f>AR63*P63</f>
        <v>3880</v>
      </c>
      <c r="AL63" s="532">
        <f t="shared" si="124"/>
        <v>0</v>
      </c>
      <c r="AM63" s="533">
        <f t="shared" si="125"/>
        <v>0</v>
      </c>
      <c r="AN63" s="533">
        <f t="shared" si="122"/>
        <v>0</v>
      </c>
      <c r="AO63" s="533">
        <f t="shared" si="126"/>
        <v>0</v>
      </c>
      <c r="AP63" s="585">
        <f t="shared" si="123"/>
        <v>0</v>
      </c>
      <c r="AQ63" s="588">
        <f>AR63*R63</f>
        <v>0</v>
      </c>
      <c r="AR63" s="611">
        <f>(1-M63)*IF(B37&gt;0,(0.1*AR25)/(1-M25),0)</f>
        <v>3880</v>
      </c>
    </row>
    <row r="64" spans="1:44" ht="16.2" thickBot="1" x14ac:dyDescent="0.35">
      <c r="A64" s="482" t="s">
        <v>727</v>
      </c>
      <c r="B64" s="478">
        <v>3</v>
      </c>
      <c r="C64" s="479">
        <f>B60*B64*60</f>
        <v>1649160</v>
      </c>
      <c r="F64" t="s">
        <v>708</v>
      </c>
      <c r="G64" s="456" t="s">
        <v>91</v>
      </c>
      <c r="H64" s="26" t="s">
        <v>91</v>
      </c>
      <c r="I64" s="26" t="s">
        <v>91</v>
      </c>
      <c r="J64" s="26" t="s">
        <v>91</v>
      </c>
      <c r="K64" s="457" t="s">
        <v>91</v>
      </c>
      <c r="L64" s="580">
        <f t="shared" si="109"/>
        <v>5</v>
      </c>
      <c r="M64" s="609">
        <v>0</v>
      </c>
      <c r="N64" s="637">
        <f>IF(B37&gt;0,N39*0.1,0)</f>
        <v>0</v>
      </c>
      <c r="O64" s="638">
        <f>IF(B37&gt;0,O39*0.1,0)</f>
        <v>0</v>
      </c>
      <c r="P64" s="566">
        <f t="shared" si="110"/>
        <v>1</v>
      </c>
      <c r="Q64" s="496"/>
      <c r="R64" s="498"/>
      <c r="S64" s="532">
        <f t="shared" si="111"/>
        <v>5000</v>
      </c>
      <c r="T64" s="533">
        <f t="shared" si="112"/>
        <v>5000</v>
      </c>
      <c r="U64" s="533">
        <f t="shared" si="113"/>
        <v>5000</v>
      </c>
      <c r="V64" s="533">
        <f t="shared" si="114"/>
        <v>5000</v>
      </c>
      <c r="W64" s="585">
        <f t="shared" si="115"/>
        <v>5000</v>
      </c>
      <c r="X64" s="588">
        <f>AE64*P64</f>
        <v>25000</v>
      </c>
      <c r="Y64" s="532">
        <f t="shared" si="116"/>
        <v>0</v>
      </c>
      <c r="Z64" s="533">
        <f t="shared" si="117"/>
        <v>0</v>
      </c>
      <c r="AA64" s="533">
        <f t="shared" si="118"/>
        <v>0</v>
      </c>
      <c r="AB64" s="533">
        <f t="shared" si="119"/>
        <v>0</v>
      </c>
      <c r="AC64" s="585">
        <f t="shared" si="120"/>
        <v>0</v>
      </c>
      <c r="AD64" s="588">
        <f>AE64*R64</f>
        <v>0</v>
      </c>
      <c r="AE64" s="611">
        <f>(1-M64)*(IF(B37&gt;0,AE30,0))</f>
        <v>25000</v>
      </c>
      <c r="AF64" s="532">
        <f t="shared" si="121"/>
        <v>10000</v>
      </c>
      <c r="AG64" s="533">
        <f t="shared" si="121"/>
        <v>10000</v>
      </c>
      <c r="AH64" s="533">
        <f t="shared" si="121"/>
        <v>10000</v>
      </c>
      <c r="AI64" s="533">
        <f t="shared" si="121"/>
        <v>10000</v>
      </c>
      <c r="AJ64" s="585">
        <f t="shared" si="121"/>
        <v>10000</v>
      </c>
      <c r="AK64" s="631">
        <f>AR64*P64</f>
        <v>50000</v>
      </c>
      <c r="AL64" s="532">
        <f t="shared" si="124"/>
        <v>0</v>
      </c>
      <c r="AM64" s="533">
        <f t="shared" si="125"/>
        <v>0</v>
      </c>
      <c r="AN64" s="533">
        <f t="shared" si="122"/>
        <v>0</v>
      </c>
      <c r="AO64" s="533">
        <f t="shared" si="126"/>
        <v>0</v>
      </c>
      <c r="AP64" s="585">
        <f t="shared" si="123"/>
        <v>0</v>
      </c>
      <c r="AQ64" s="588">
        <f>AR64*R64</f>
        <v>0</v>
      </c>
      <c r="AR64" s="611">
        <f>(1-M64)*IF(B37&gt;0,AR30,0)</f>
        <v>50000</v>
      </c>
    </row>
    <row r="65" spans="1:44" ht="15.6" x14ac:dyDescent="0.3">
      <c r="A65" s="483"/>
      <c r="B65" s="472" t="s">
        <v>728</v>
      </c>
      <c r="C65" s="473" t="s">
        <v>729</v>
      </c>
      <c r="F65" t="s">
        <v>770</v>
      </c>
      <c r="G65" s="456" t="s">
        <v>91</v>
      </c>
      <c r="H65" s="649" t="s">
        <v>91</v>
      </c>
      <c r="I65" s="649" t="s">
        <v>91</v>
      </c>
      <c r="J65" s="649" t="s">
        <v>91</v>
      </c>
      <c r="K65" s="457"/>
      <c r="L65" s="580">
        <f t="shared" si="109"/>
        <v>4</v>
      </c>
      <c r="M65" s="642">
        <v>0</v>
      </c>
      <c r="N65" s="643">
        <f>(B38+B39)*N12*0.25</f>
        <v>0</v>
      </c>
      <c r="O65" s="643">
        <f>(B38+B39)*O12*0.25</f>
        <v>0</v>
      </c>
      <c r="P65" s="644">
        <v>1</v>
      </c>
      <c r="Q65" s="645"/>
      <c r="R65" s="646"/>
      <c r="S65" s="532">
        <f t="shared" ref="S65" si="127">IF(G65="x",$X65/$L65,0)</f>
        <v>0</v>
      </c>
      <c r="T65" s="533">
        <f t="shared" ref="T65" si="128">IF(H65="x",$X65/$L65,0)</f>
        <v>0</v>
      </c>
      <c r="U65" s="533">
        <f t="shared" ref="U65" si="129">IF(I65="x",$X65/$L65,0)</f>
        <v>0</v>
      </c>
      <c r="V65" s="533">
        <f t="shared" ref="V65" si="130">IF(J65="x",$X65/$L65,0)</f>
        <v>0</v>
      </c>
      <c r="W65" s="585">
        <f t="shared" ref="W65" si="131">IF(K65="x",$X65/$L65,0)</f>
        <v>0</v>
      </c>
      <c r="X65" s="588">
        <f>AE65*P65</f>
        <v>0</v>
      </c>
      <c r="Y65" s="532">
        <f t="shared" ref="Y65" si="132">IF(G65="x",$AD65/$L65,0)</f>
        <v>0</v>
      </c>
      <c r="Z65" s="533">
        <f t="shared" ref="Z65" si="133">IF(H65="x",$AD65/$L65,0)</f>
        <v>0</v>
      </c>
      <c r="AA65" s="533">
        <f t="shared" ref="AA65" si="134">IF(I65="x",$AD65/$L65,0)</f>
        <v>0</v>
      </c>
      <c r="AB65" s="533">
        <f t="shared" ref="AB65" si="135">IF(J65="x",$AD65/$L65,0)</f>
        <v>0</v>
      </c>
      <c r="AC65" s="585">
        <f t="shared" ref="AC65" si="136">IF(K65="x",$AD65/$L65,0)</f>
        <v>0</v>
      </c>
      <c r="AD65" s="588">
        <f>AE65*R65</f>
        <v>0</v>
      </c>
      <c r="AE65" s="647">
        <f>(1-M65)*((B38+B39)*(AE12/(1-M12))*0.25)</f>
        <v>0</v>
      </c>
      <c r="AF65" s="532">
        <f t="shared" si="121"/>
        <v>0</v>
      </c>
      <c r="AG65" s="533">
        <f t="shared" si="121"/>
        <v>0</v>
      </c>
      <c r="AH65" s="533">
        <f t="shared" si="121"/>
        <v>0</v>
      </c>
      <c r="AI65" s="533">
        <f t="shared" si="121"/>
        <v>0</v>
      </c>
      <c r="AJ65" s="585">
        <f t="shared" si="121"/>
        <v>0</v>
      </c>
      <c r="AK65" s="631">
        <f>AR65*P65</f>
        <v>0</v>
      </c>
      <c r="AL65" s="532">
        <f t="shared" si="124"/>
        <v>0</v>
      </c>
      <c r="AM65" s="533">
        <f t="shared" ref="AM65" si="137">IF(H65="x",$AQ65/$L65,0)</f>
        <v>0</v>
      </c>
      <c r="AN65" s="533">
        <f t="shared" ref="AN65" si="138">IF(I65="x",$AQ65/$L65,0)</f>
        <v>0</v>
      </c>
      <c r="AO65" s="533">
        <f t="shared" ref="AO65" si="139">IF(J65="x",$AQ65/$L65,0)</f>
        <v>0</v>
      </c>
      <c r="AP65" s="585">
        <f t="shared" ref="AP65" si="140">IF(K65="x",$AQ65/$L65,0)</f>
        <v>0</v>
      </c>
      <c r="AQ65" s="588">
        <f>AR65*R65</f>
        <v>0</v>
      </c>
      <c r="AR65" s="648">
        <f>(1-M65)*(B38+B39)*(AR12/(1-M12))*0.25</f>
        <v>0</v>
      </c>
    </row>
    <row r="66" spans="1:44" ht="15.6" x14ac:dyDescent="0.3">
      <c r="A66" s="481" t="s">
        <v>713</v>
      </c>
      <c r="B66" s="468">
        <f>AB36/B60/60</f>
        <v>0.67990949273569568</v>
      </c>
      <c r="C66" s="469">
        <f>AO36/B60/60</f>
        <v>1.4047548777559484</v>
      </c>
      <c r="F66" s="488" t="s">
        <v>709</v>
      </c>
      <c r="G66" s="456"/>
      <c r="H66" s="26"/>
      <c r="I66" s="26"/>
      <c r="J66" s="26"/>
      <c r="K66" s="457"/>
      <c r="L66" s="580"/>
      <c r="M66" s="618"/>
      <c r="N66" s="627"/>
      <c r="O66" s="628"/>
      <c r="P66" s="619"/>
      <c r="Q66" s="620"/>
      <c r="R66" s="621"/>
      <c r="S66" s="622"/>
      <c r="T66" s="623"/>
      <c r="U66" s="623"/>
      <c r="V66" s="623"/>
      <c r="W66" s="624"/>
      <c r="X66" s="622"/>
      <c r="Y66" s="622"/>
      <c r="Z66" s="623"/>
      <c r="AA66" s="623"/>
      <c r="AB66" s="623"/>
      <c r="AC66" s="624"/>
      <c r="AD66" s="622"/>
      <c r="AE66" s="622"/>
      <c r="AF66" s="622"/>
      <c r="AG66" s="623"/>
      <c r="AH66" s="623"/>
      <c r="AI66" s="623"/>
      <c r="AJ66" s="624"/>
      <c r="AK66" s="624"/>
      <c r="AL66" s="622"/>
      <c r="AM66" s="623"/>
      <c r="AN66" s="623"/>
      <c r="AO66" s="623"/>
      <c r="AP66" s="624"/>
      <c r="AQ66" s="624"/>
      <c r="AR66" s="624"/>
    </row>
    <row r="67" spans="1:44" ht="16.2" thickBot="1" x14ac:dyDescent="0.35">
      <c r="A67" s="482" t="s">
        <v>714</v>
      </c>
      <c r="B67" s="470">
        <f>B66*12</f>
        <v>8.1589139128283481</v>
      </c>
      <c r="C67" s="471">
        <f>C66*12</f>
        <v>16.857058533071381</v>
      </c>
      <c r="F67" t="s">
        <v>704</v>
      </c>
      <c r="G67" s="456"/>
      <c r="H67" s="26"/>
      <c r="I67" s="26"/>
      <c r="J67" s="26"/>
      <c r="K67" s="457"/>
      <c r="L67" s="580"/>
      <c r="M67" s="618"/>
      <c r="N67" s="590">
        <f>SUM(N68:N68)</f>
        <v>11.200000000000001</v>
      </c>
      <c r="O67" s="591">
        <f>SUM(O68:O68)</f>
        <v>73</v>
      </c>
      <c r="P67" s="619"/>
      <c r="Q67" s="620"/>
      <c r="R67" s="621"/>
      <c r="S67" s="622"/>
      <c r="T67" s="623"/>
      <c r="U67" s="623"/>
      <c r="V67" s="623"/>
      <c r="W67" s="624"/>
      <c r="X67" s="593">
        <f>SUM(X68:X68)</f>
        <v>560</v>
      </c>
      <c r="Y67" s="622"/>
      <c r="Z67" s="623"/>
      <c r="AA67" s="623"/>
      <c r="AB67" s="623"/>
      <c r="AC67" s="624"/>
      <c r="AD67" s="593">
        <f>SUM(AD68:AD68)</f>
        <v>0</v>
      </c>
      <c r="AE67" s="593">
        <f>SUM(AE68:AE68)</f>
        <v>560</v>
      </c>
      <c r="AF67" s="622"/>
      <c r="AG67" s="623"/>
      <c r="AH67" s="623"/>
      <c r="AI67" s="623"/>
      <c r="AJ67" s="624"/>
      <c r="AK67" s="629">
        <f>SUM(AK68:AK68)</f>
        <v>3690</v>
      </c>
      <c r="AL67" s="622"/>
      <c r="AM67" s="623"/>
      <c r="AN67" s="623"/>
      <c r="AO67" s="623"/>
      <c r="AP67" s="624"/>
      <c r="AQ67" s="593">
        <f>SUM(AQ68:AQ68)</f>
        <v>0</v>
      </c>
      <c r="AR67" s="593">
        <f>SUM(AR68:AR68)</f>
        <v>3690</v>
      </c>
    </row>
    <row r="68" spans="1:44" ht="16.2" thickBot="1" x14ac:dyDescent="0.35">
      <c r="F68" s="457" t="s">
        <v>710</v>
      </c>
      <c r="G68" s="458" t="s">
        <v>91</v>
      </c>
      <c r="H68" s="459" t="s">
        <v>91</v>
      </c>
      <c r="I68" s="459" t="s">
        <v>91</v>
      </c>
      <c r="J68" s="459" t="s">
        <v>91</v>
      </c>
      <c r="K68" s="460" t="s">
        <v>91</v>
      </c>
      <c r="L68" s="530">
        <f t="shared" ref="L68" si="141">COUNTIF(G68:K68, "x")</f>
        <v>5</v>
      </c>
      <c r="M68" s="610">
        <v>0</v>
      </c>
      <c r="N68" s="635">
        <f>IF(B40&gt;0,0.1*N7,0)</f>
        <v>11.200000000000001</v>
      </c>
      <c r="O68" s="640">
        <f>IF(B40&gt;0,0.1*O7,0)</f>
        <v>73</v>
      </c>
      <c r="P68" s="567">
        <f t="shared" ref="P68" si="142">1-(Q68+R68)</f>
        <v>1</v>
      </c>
      <c r="Q68" s="499"/>
      <c r="R68" s="500"/>
      <c r="S68" s="534">
        <f>IF(G68="x",$X68/$L68,0)</f>
        <v>112</v>
      </c>
      <c r="T68" s="535">
        <f>IF(H68="x",$X68/$L68,0)</f>
        <v>112</v>
      </c>
      <c r="U68" s="535">
        <f>IF(I68="x",$X68/$L68,0)</f>
        <v>112</v>
      </c>
      <c r="V68" s="535">
        <f>IF(J68="x",$X68/$L68,0)</f>
        <v>112</v>
      </c>
      <c r="W68" s="586">
        <f>IF(K68="x",$X68/$L68,0)</f>
        <v>112</v>
      </c>
      <c r="X68" s="598">
        <f>AE68*P68</f>
        <v>560</v>
      </c>
      <c r="Y68" s="534">
        <f>IF(G68="x",$AD68/$L68,0)</f>
        <v>0</v>
      </c>
      <c r="Z68" s="535">
        <f t="shared" ref="Z68:AC68" si="143">IF(H68="x",$AD68/$L68,0)</f>
        <v>0</v>
      </c>
      <c r="AA68" s="535">
        <f t="shared" si="143"/>
        <v>0</v>
      </c>
      <c r="AB68" s="535">
        <f t="shared" si="143"/>
        <v>0</v>
      </c>
      <c r="AC68" s="586">
        <f t="shared" si="143"/>
        <v>0</v>
      </c>
      <c r="AD68" s="598">
        <f>AE67*R67</f>
        <v>0</v>
      </c>
      <c r="AE68" s="612">
        <f>IF(B40&gt;0,0.05*(AE7/(1-M7)),0)</f>
        <v>560</v>
      </c>
      <c r="AF68" s="534">
        <f>IF(G68="x",$AK68/$L68,0)</f>
        <v>738</v>
      </c>
      <c r="AG68" s="535">
        <f>IF(H68="x",$AK68/$L68,0)</f>
        <v>738</v>
      </c>
      <c r="AH68" s="535">
        <f>IF(I68="x",$AK68/$L68,0)</f>
        <v>738</v>
      </c>
      <c r="AI68" s="535">
        <f>IF(J68="x",$AK68/$L68,0)</f>
        <v>738</v>
      </c>
      <c r="AJ68" s="586">
        <f>IF(K68="x",$AK68/$L68,0)</f>
        <v>738</v>
      </c>
      <c r="AK68" s="633">
        <f>AR68*P68</f>
        <v>3690</v>
      </c>
      <c r="AL68" s="534">
        <f t="shared" ref="AL68" si="144">IF($G68="x",$AQ68/$L68,0)</f>
        <v>0</v>
      </c>
      <c r="AM68" s="535">
        <f t="shared" ref="AM68" si="145">IF(H68="x",$AQ68/$L68,0)</f>
        <v>0</v>
      </c>
      <c r="AN68" s="535">
        <f t="shared" ref="AN68" si="146">IF(I68="x",$AQ68/$L68,0)</f>
        <v>0</v>
      </c>
      <c r="AO68" s="535">
        <f t="shared" ref="AO68" si="147">IF(J68="x",$AQ68/$L68,0)</f>
        <v>0</v>
      </c>
      <c r="AP68" s="586">
        <f t="shared" ref="AP68" si="148">IF(K68="x",$AQ68/$L68,0)</f>
        <v>0</v>
      </c>
      <c r="AQ68" s="598">
        <f>AR68*R68</f>
        <v>0</v>
      </c>
      <c r="AR68" s="634">
        <f>IF(B40&gt;0,0.05*AR7,0)</f>
        <v>3690</v>
      </c>
    </row>
    <row r="69" spans="1:44" ht="15.6" x14ac:dyDescent="0.3">
      <c r="A69" s="650" t="s">
        <v>776</v>
      </c>
      <c r="B69" s="454"/>
      <c r="C69" s="455"/>
      <c r="G69" s="26"/>
      <c r="H69" s="26"/>
      <c r="I69" s="26"/>
      <c r="J69" s="26"/>
      <c r="K69" s="26"/>
      <c r="L69" s="512"/>
      <c r="AF69" s="533"/>
      <c r="AG69" s="533"/>
      <c r="AH69" s="533"/>
      <c r="AI69" s="533"/>
      <c r="AJ69" s="533"/>
      <c r="AL69" s="533"/>
      <c r="AM69" s="533"/>
      <c r="AN69" s="533"/>
      <c r="AO69" s="533"/>
      <c r="AP69" s="533"/>
    </row>
    <row r="70" spans="1:44" ht="15.6" x14ac:dyDescent="0.3">
      <c r="A70" s="651" t="s">
        <v>774</v>
      </c>
      <c r="B70" s="26"/>
      <c r="C70" s="457"/>
      <c r="G70" s="26"/>
      <c r="H70" s="26"/>
      <c r="I70" s="26"/>
      <c r="J70" s="26"/>
      <c r="K70" s="26"/>
      <c r="L70" s="512"/>
      <c r="AF70" s="533"/>
      <c r="AG70" s="533"/>
      <c r="AH70" s="533"/>
      <c r="AI70" s="533"/>
      <c r="AJ70" s="533"/>
      <c r="AL70" s="533"/>
      <c r="AM70" s="533"/>
      <c r="AN70" s="533"/>
      <c r="AO70" s="533"/>
      <c r="AP70" s="533"/>
    </row>
    <row r="71" spans="1:44" ht="15.6" x14ac:dyDescent="0.3">
      <c r="A71" s="652" t="s">
        <v>775</v>
      </c>
      <c r="B71" s="26"/>
      <c r="C71" s="457"/>
      <c r="G71" s="26"/>
      <c r="H71" s="26"/>
      <c r="I71" s="26"/>
      <c r="J71" s="26"/>
      <c r="K71" s="26"/>
      <c r="L71" s="512"/>
      <c r="AF71" s="533"/>
      <c r="AG71" s="533"/>
      <c r="AH71" s="533"/>
      <c r="AI71" s="533"/>
      <c r="AJ71" s="533"/>
      <c r="AL71" s="533"/>
      <c r="AM71" s="533"/>
      <c r="AN71" s="533"/>
      <c r="AO71" s="533"/>
      <c r="AP71" s="533"/>
    </row>
    <row r="72" spans="1:44" ht="15" thickBot="1" x14ac:dyDescent="0.35">
      <c r="A72" s="458" t="s">
        <v>777</v>
      </c>
      <c r="B72" s="459"/>
      <c r="C72" s="460"/>
    </row>
  </sheetData>
  <mergeCells count="58">
    <mergeCell ref="S58:W58"/>
    <mergeCell ref="Y58:AC58"/>
    <mergeCell ref="AF58:AJ58"/>
    <mergeCell ref="AF57:AR57"/>
    <mergeCell ref="AL58:AP58"/>
    <mergeCell ref="A1:A2"/>
    <mergeCell ref="P2:R2"/>
    <mergeCell ref="G57:K58"/>
    <mergeCell ref="L57:L58"/>
    <mergeCell ref="N57:O58"/>
    <mergeCell ref="B16:C16"/>
    <mergeCell ref="B23:C23"/>
    <mergeCell ref="B14:C14"/>
    <mergeCell ref="F2:F4"/>
    <mergeCell ref="B15:C15"/>
    <mergeCell ref="B12:C12"/>
    <mergeCell ref="B11:C11"/>
    <mergeCell ref="B8:C8"/>
    <mergeCell ref="B6:C6"/>
    <mergeCell ref="B5:C5"/>
    <mergeCell ref="B7:C7"/>
    <mergeCell ref="B33:C33"/>
    <mergeCell ref="B32:C32"/>
    <mergeCell ref="B30:C30"/>
    <mergeCell ref="B29:C29"/>
    <mergeCell ref="B28:C28"/>
    <mergeCell ref="B31:C31"/>
    <mergeCell ref="B26:C26"/>
    <mergeCell ref="P57:R57"/>
    <mergeCell ref="S57:AE57"/>
    <mergeCell ref="S3:W3"/>
    <mergeCell ref="AF3:AJ3"/>
    <mergeCell ref="S38:W38"/>
    <mergeCell ref="AF38:AJ38"/>
    <mergeCell ref="AF40:AR40"/>
    <mergeCell ref="S41:W41"/>
    <mergeCell ref="Y41:AC41"/>
    <mergeCell ref="AF41:AJ41"/>
    <mergeCell ref="AL41:AP41"/>
    <mergeCell ref="N2:O3"/>
    <mergeCell ref="G40:K41"/>
    <mergeCell ref="L40:L41"/>
    <mergeCell ref="N40:O41"/>
    <mergeCell ref="P40:R40"/>
    <mergeCell ref="S40:AE40"/>
    <mergeCell ref="AF2:AR2"/>
    <mergeCell ref="Y3:AC3"/>
    <mergeCell ref="AL3:AP3"/>
    <mergeCell ref="AB36:AD36"/>
    <mergeCell ref="AO36:AQ36"/>
    <mergeCell ref="S2:AE2"/>
    <mergeCell ref="AB37:AD37"/>
    <mergeCell ref="AO37:AQ37"/>
    <mergeCell ref="B1:C2"/>
    <mergeCell ref="G2:K3"/>
    <mergeCell ref="L2:L3"/>
    <mergeCell ref="M2:M3"/>
    <mergeCell ref="AS2:AT2"/>
  </mergeCells>
  <dataValidations count="1">
    <dataValidation type="list" allowBlank="1" showInputMessage="1" showErrorMessage="1" sqref="B28:C28 B31:C31" xr:uid="{E7397891-86A9-4203-94B8-334E06216F11}">
      <formula1>"Yes,No"</formula1>
    </dataValidation>
  </dataValidations>
  <pageMargins left="0.7" right="0.7" top="0.75" bottom="0.75" header="0.3" footer="0.3"/>
  <pageSetup paperSize="17" scale="3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58"/>
  <sheetViews>
    <sheetView topLeftCell="C22" zoomScale="75" zoomScaleNormal="75" workbookViewId="0">
      <selection activeCell="H27" sqref="A27:XFD27"/>
    </sheetView>
  </sheetViews>
  <sheetFormatPr defaultColWidth="8.88671875" defaultRowHeight="14.4" x14ac:dyDescent="0.3"/>
  <cols>
    <col min="1" max="1" width="10.44140625" bestFit="1" customWidth="1"/>
    <col min="2" max="2" width="10.44140625" customWidth="1"/>
    <col min="3" max="3" width="10.44140625" style="1" customWidth="1"/>
    <col min="4" max="4" width="12.33203125" customWidth="1"/>
    <col min="5" max="5" width="15.33203125" style="1" customWidth="1"/>
    <col min="6" max="6" width="5.6640625" style="1" customWidth="1"/>
    <col min="7" max="7" width="94.88671875" customWidth="1"/>
    <col min="8" max="8" width="23.109375" customWidth="1"/>
    <col min="9" max="10" width="10.6640625" style="21" customWidth="1"/>
    <col min="11" max="12" width="12.44140625" style="24" customWidth="1"/>
    <col min="13" max="16" width="12.88671875" style="24" customWidth="1"/>
    <col min="17" max="17" width="13.33203125" style="24" customWidth="1"/>
    <col min="18" max="21" width="11.44140625" style="24" customWidth="1"/>
    <col min="22" max="22" width="57.44140625" style="7" customWidth="1"/>
    <col min="23" max="23" width="36.88671875" customWidth="1"/>
  </cols>
  <sheetData>
    <row r="1" spans="1:22" s="47" customFormat="1" ht="21.9" customHeight="1" x14ac:dyDescent="0.3">
      <c r="A1" s="719" t="s">
        <v>531</v>
      </c>
      <c r="B1" s="720"/>
      <c r="C1" s="720"/>
      <c r="D1" s="720"/>
      <c r="E1" s="721"/>
    </row>
    <row r="2" spans="1:22" s="47" customFormat="1" ht="21.9" customHeight="1" x14ac:dyDescent="0.3">
      <c r="A2" s="403"/>
      <c r="B2" s="411"/>
      <c r="C2" s="411"/>
      <c r="D2" s="413" t="s">
        <v>340</v>
      </c>
      <c r="E2" s="415" t="s">
        <v>341</v>
      </c>
    </row>
    <row r="3" spans="1:22" s="47" customFormat="1" ht="21.9" customHeight="1" x14ac:dyDescent="0.3">
      <c r="A3" s="727" t="s">
        <v>382</v>
      </c>
      <c r="B3" s="728"/>
      <c r="C3" s="414">
        <f>'Cover Sheet'!B8</f>
        <v>100</v>
      </c>
      <c r="D3" s="417"/>
      <c r="E3" s="418"/>
    </row>
    <row r="4" spans="1:22" s="47" customFormat="1" ht="28.65" customHeight="1" x14ac:dyDescent="0.3">
      <c r="A4" s="941" t="s">
        <v>595</v>
      </c>
      <c r="B4" s="942"/>
      <c r="C4" s="416"/>
      <c r="D4" s="419">
        <f>'Cover Sheet'!B20</f>
        <v>1</v>
      </c>
      <c r="E4" s="420">
        <f>'Cover Sheet'!C20</f>
        <v>1</v>
      </c>
    </row>
    <row r="5" spans="1:22" ht="21.9" customHeight="1" x14ac:dyDescent="0.3">
      <c r="C5"/>
      <c r="D5" s="3"/>
      <c r="E5"/>
      <c r="F5"/>
      <c r="I5"/>
      <c r="J5"/>
      <c r="K5"/>
      <c r="L5"/>
      <c r="M5"/>
      <c r="N5"/>
      <c r="O5"/>
      <c r="P5"/>
      <c r="Q5"/>
      <c r="R5"/>
      <c r="S5"/>
      <c r="T5"/>
      <c r="U5"/>
      <c r="V5"/>
    </row>
    <row r="6" spans="1:22" ht="21.9" customHeight="1" x14ac:dyDescent="0.3">
      <c r="A6" s="72"/>
      <c r="B6" s="720" t="s">
        <v>533</v>
      </c>
      <c r="C6" s="720"/>
      <c r="D6" s="720" t="s">
        <v>294</v>
      </c>
      <c r="E6" s="721"/>
      <c r="F6"/>
      <c r="I6"/>
      <c r="J6"/>
      <c r="K6"/>
      <c r="L6"/>
      <c r="M6"/>
      <c r="N6"/>
      <c r="O6"/>
      <c r="P6"/>
      <c r="Q6"/>
      <c r="R6"/>
      <c r="S6"/>
      <c r="T6"/>
      <c r="U6"/>
      <c r="V6"/>
    </row>
    <row r="7" spans="1:22" ht="21.9" customHeight="1" x14ac:dyDescent="0.3">
      <c r="A7" s="102"/>
      <c r="B7" s="103" t="s">
        <v>340</v>
      </c>
      <c r="C7" s="103" t="s">
        <v>341</v>
      </c>
      <c r="D7" s="103" t="s">
        <v>340</v>
      </c>
      <c r="E7" s="104" t="s">
        <v>341</v>
      </c>
      <c r="F7"/>
      <c r="I7"/>
      <c r="J7"/>
      <c r="K7"/>
      <c r="L7"/>
      <c r="M7"/>
      <c r="N7"/>
      <c r="O7"/>
      <c r="P7"/>
      <c r="Q7"/>
      <c r="R7"/>
      <c r="S7"/>
      <c r="T7"/>
      <c r="U7"/>
      <c r="V7"/>
    </row>
    <row r="8" spans="1:22" ht="21.9" customHeight="1" x14ac:dyDescent="0.3">
      <c r="A8" s="85" t="s">
        <v>83</v>
      </c>
      <c r="B8" s="86">
        <f>R29</f>
        <v>0</v>
      </c>
      <c r="C8" s="87">
        <f>S29</f>
        <v>0</v>
      </c>
      <c r="D8" s="232">
        <f>T29</f>
        <v>0</v>
      </c>
      <c r="E8" s="233">
        <f>U29</f>
        <v>0</v>
      </c>
      <c r="F8"/>
      <c r="I8"/>
      <c r="J8"/>
      <c r="K8"/>
      <c r="L8"/>
      <c r="M8"/>
      <c r="N8"/>
      <c r="O8"/>
      <c r="P8"/>
      <c r="Q8"/>
      <c r="R8"/>
      <c r="S8"/>
      <c r="T8"/>
      <c r="U8"/>
      <c r="V8"/>
    </row>
    <row r="9" spans="1:22" ht="21.9" customHeight="1" x14ac:dyDescent="0.3">
      <c r="A9" s="90" t="s">
        <v>534</v>
      </c>
      <c r="B9" s="91">
        <f>ROUND((R23+R24+R25+R26),3-(INT(LOG((R23+R24+R25+R26))+1)))</f>
        <v>4200</v>
      </c>
      <c r="C9" s="323">
        <f>ROUND((S23+S24+S25+S26),3-(INT(LOG((S23+S24+S25+S26))+1)))</f>
        <v>21600</v>
      </c>
      <c r="D9" s="286">
        <f>ROUND((T23+T24+T25+T26),3-(INT(LOG((T23+T24+T25+T26))+1)))</f>
        <v>32</v>
      </c>
      <c r="E9" s="286">
        <f>ROUND((U23+U24+U25+U26),3-(INT(LOG((U23+U24+U25+U26))+1)))</f>
        <v>96</v>
      </c>
      <c r="F9"/>
      <c r="I9"/>
      <c r="J9"/>
      <c r="K9"/>
      <c r="L9"/>
      <c r="M9"/>
      <c r="N9"/>
      <c r="O9"/>
      <c r="P9"/>
      <c r="Q9"/>
      <c r="R9"/>
      <c r="S9"/>
      <c r="T9"/>
      <c r="U9"/>
      <c r="V9"/>
    </row>
    <row r="10" spans="1:22" ht="21.9" customHeight="1" x14ac:dyDescent="0.3">
      <c r="A10" s="94" t="s">
        <v>82</v>
      </c>
      <c r="B10" s="95">
        <f>ROUND((R27+R28),3-(INT(LOG((R27+R28))+1)))</f>
        <v>14000</v>
      </c>
      <c r="C10" s="95">
        <f>ROUND((S27+S28),3-(INT(LOG((S27+S28))+1)))</f>
        <v>24000</v>
      </c>
      <c r="D10" s="272">
        <f>ROUND((T27+T28),3-(INT(LOG((T27+T28))+1)))</f>
        <v>140</v>
      </c>
      <c r="E10" s="272">
        <f>ROUND((U27+U28),3-(INT(LOG((U27+U28))+1)))</f>
        <v>240</v>
      </c>
      <c r="F10"/>
      <c r="I10"/>
      <c r="J10"/>
      <c r="K10"/>
      <c r="L10"/>
      <c r="M10"/>
      <c r="N10"/>
      <c r="O10"/>
      <c r="P10"/>
      <c r="Q10"/>
      <c r="R10"/>
      <c r="S10"/>
      <c r="T10"/>
      <c r="U10"/>
      <c r="V10"/>
    </row>
    <row r="11" spans="1:22" ht="21.9" customHeight="1" x14ac:dyDescent="0.3">
      <c r="A11" s="98" t="s">
        <v>535</v>
      </c>
      <c r="B11" s="99">
        <f>R30</f>
        <v>4200</v>
      </c>
      <c r="C11" s="99">
        <f>S30</f>
        <v>21600</v>
      </c>
      <c r="D11" s="178">
        <f>T30</f>
        <v>32</v>
      </c>
      <c r="E11" s="178">
        <f>U30</f>
        <v>96</v>
      </c>
      <c r="F11"/>
      <c r="I11"/>
      <c r="J11"/>
      <c r="K11"/>
      <c r="L11"/>
      <c r="M11"/>
      <c r="N11"/>
      <c r="O11"/>
      <c r="P11"/>
      <c r="Q11"/>
      <c r="R11"/>
      <c r="S11"/>
      <c r="T11"/>
      <c r="U11"/>
      <c r="V11"/>
    </row>
    <row r="12" spans="1:22" x14ac:dyDescent="0.3">
      <c r="A12" s="184" t="s">
        <v>536</v>
      </c>
      <c r="B12" s="185"/>
      <c r="C12" s="186"/>
      <c r="D12" s="185"/>
      <c r="E12" s="187"/>
    </row>
    <row r="13" spans="1:22" x14ac:dyDescent="0.3">
      <c r="K13" s="52"/>
    </row>
    <row r="15" spans="1:22" x14ac:dyDescent="0.3">
      <c r="I15" s="42"/>
      <c r="J15" s="42"/>
    </row>
    <row r="16" spans="1:22" x14ac:dyDescent="0.3">
      <c r="H16" s="41"/>
      <c r="I16" s="42"/>
      <c r="J16" s="42"/>
    </row>
    <row r="17" spans="1:23" x14ac:dyDescent="0.3">
      <c r="H17" s="41"/>
      <c r="I17" s="42"/>
      <c r="J17" s="42"/>
    </row>
    <row r="19" spans="1:23" ht="79.650000000000006" customHeight="1" x14ac:dyDescent="0.3">
      <c r="A19" s="859" t="s">
        <v>0</v>
      </c>
      <c r="B19" s="859" t="s">
        <v>49</v>
      </c>
      <c r="C19" s="860" t="s">
        <v>52</v>
      </c>
      <c r="D19" s="860" t="s">
        <v>136</v>
      </c>
      <c r="E19" s="860" t="s">
        <v>90</v>
      </c>
      <c r="F19" s="861" t="s">
        <v>35</v>
      </c>
      <c r="G19" s="862"/>
      <c r="H19" s="858" t="s">
        <v>1</v>
      </c>
      <c r="I19" s="851" t="s">
        <v>551</v>
      </c>
      <c r="J19" s="851"/>
      <c r="K19" s="851"/>
      <c r="L19" s="851"/>
      <c r="M19" s="851" t="s">
        <v>552</v>
      </c>
      <c r="N19" s="851"/>
      <c r="O19" s="851"/>
      <c r="P19" s="851"/>
      <c r="Q19" s="851"/>
      <c r="R19" s="947" t="s">
        <v>553</v>
      </c>
      <c r="S19" s="948"/>
      <c r="T19" s="948"/>
      <c r="U19" s="949"/>
      <c r="V19" s="855" t="s">
        <v>297</v>
      </c>
      <c r="W19" s="858" t="s">
        <v>296</v>
      </c>
    </row>
    <row r="20" spans="1:23" ht="55.65" customHeight="1" x14ac:dyDescent="0.3">
      <c r="A20" s="770"/>
      <c r="B20" s="770"/>
      <c r="C20" s="773"/>
      <c r="D20" s="773"/>
      <c r="E20" s="773"/>
      <c r="F20" s="863"/>
      <c r="G20" s="864"/>
      <c r="H20" s="776"/>
      <c r="I20" s="851" t="s">
        <v>294</v>
      </c>
      <c r="J20" s="851"/>
      <c r="K20" s="781" t="s">
        <v>504</v>
      </c>
      <c r="L20" s="781"/>
      <c r="M20" s="850" t="s">
        <v>357</v>
      </c>
      <c r="N20" s="850"/>
      <c r="O20" s="850" t="s">
        <v>504</v>
      </c>
      <c r="P20" s="850"/>
      <c r="Q20" s="299" t="s">
        <v>299</v>
      </c>
      <c r="R20" s="943" t="s">
        <v>362</v>
      </c>
      <c r="S20" s="944"/>
      <c r="T20" s="945" t="s">
        <v>526</v>
      </c>
      <c r="U20" s="946"/>
      <c r="V20" s="856"/>
      <c r="W20" s="776"/>
    </row>
    <row r="21" spans="1:23" ht="39.9" customHeight="1" x14ac:dyDescent="0.3">
      <c r="A21" s="771"/>
      <c r="B21" s="771"/>
      <c r="C21" s="774"/>
      <c r="D21" s="774"/>
      <c r="E21" s="774"/>
      <c r="F21" s="865"/>
      <c r="G21" s="866"/>
      <c r="H21" s="777"/>
      <c r="I21" s="300" t="s">
        <v>340</v>
      </c>
      <c r="J21" s="300" t="s">
        <v>341</v>
      </c>
      <c r="K21" s="301" t="s">
        <v>340</v>
      </c>
      <c r="L21" s="301" t="s">
        <v>341</v>
      </c>
      <c r="M21" s="302" t="s">
        <v>340</v>
      </c>
      <c r="N21" s="302" t="s">
        <v>341</v>
      </c>
      <c r="O21" s="302" t="s">
        <v>340</v>
      </c>
      <c r="P21" s="302" t="s">
        <v>341</v>
      </c>
      <c r="Q21" s="299"/>
      <c r="R21" s="301" t="s">
        <v>340</v>
      </c>
      <c r="S21" s="301" t="s">
        <v>341</v>
      </c>
      <c r="T21" s="301" t="s">
        <v>340</v>
      </c>
      <c r="U21" s="301" t="s">
        <v>341</v>
      </c>
      <c r="V21" s="857"/>
      <c r="W21" s="777"/>
    </row>
    <row r="22" spans="1:23" ht="79.650000000000006" customHeight="1" x14ac:dyDescent="0.3">
      <c r="A22" s="190">
        <v>1</v>
      </c>
      <c r="B22" s="190"/>
      <c r="C22" s="190"/>
      <c r="D22" s="190"/>
      <c r="E22" s="190"/>
      <c r="F22" s="907" t="s">
        <v>182</v>
      </c>
      <c r="G22" s="909"/>
      <c r="H22" s="237" t="s">
        <v>36</v>
      </c>
      <c r="I22" s="192"/>
      <c r="J22" s="192"/>
      <c r="K22" s="193"/>
      <c r="L22" s="193"/>
      <c r="M22" s="193"/>
      <c r="N22" s="193"/>
      <c r="O22" s="193"/>
      <c r="P22" s="193"/>
      <c r="Q22" s="193"/>
      <c r="R22" s="193"/>
      <c r="S22" s="193"/>
      <c r="T22" s="193"/>
      <c r="U22" s="193"/>
      <c r="V22" s="194"/>
      <c r="W22" s="195" t="s">
        <v>295</v>
      </c>
    </row>
    <row r="23" spans="1:23" ht="79.650000000000006" customHeight="1" x14ac:dyDescent="0.3">
      <c r="A23" s="200">
        <v>1.1000000000000001</v>
      </c>
      <c r="B23" s="209" t="s">
        <v>188</v>
      </c>
      <c r="C23" s="209" t="s">
        <v>108</v>
      </c>
      <c r="D23" s="201" t="s">
        <v>81</v>
      </c>
      <c r="E23" s="200"/>
      <c r="F23" s="904" t="s">
        <v>183</v>
      </c>
      <c r="G23" s="906"/>
      <c r="H23" s="243" t="s">
        <v>37</v>
      </c>
      <c r="I23" s="205">
        <v>0</v>
      </c>
      <c r="J23" s="205"/>
      <c r="K23" s="206">
        <v>0</v>
      </c>
      <c r="L23" s="206"/>
      <c r="M23" s="205">
        <v>0</v>
      </c>
      <c r="N23" s="205"/>
      <c r="O23" s="206">
        <v>0</v>
      </c>
      <c r="P23" s="206"/>
      <c r="Q23" s="205">
        <v>0</v>
      </c>
      <c r="R23" s="206">
        <f>I23*$C$3+K23+((M23*$C$3+O23)*$Q23)</f>
        <v>0</v>
      </c>
      <c r="S23" s="206">
        <f>J23*$C$3+L23+((N23*$C$3+P23)*$Q23)</f>
        <v>0</v>
      </c>
      <c r="T23" s="205">
        <f t="shared" ref="T23:U29" si="0">I23+(M23*5)</f>
        <v>0</v>
      </c>
      <c r="U23" s="205">
        <f t="shared" si="0"/>
        <v>0</v>
      </c>
      <c r="V23" s="274" t="s">
        <v>514</v>
      </c>
      <c r="W23" s="208"/>
    </row>
    <row r="24" spans="1:23" ht="79.650000000000006" customHeight="1" x14ac:dyDescent="0.3">
      <c r="A24" s="200">
        <v>1.2</v>
      </c>
      <c r="B24" s="209" t="s">
        <v>189</v>
      </c>
      <c r="C24" s="200" t="s">
        <v>79</v>
      </c>
      <c r="D24" s="201" t="s">
        <v>81</v>
      </c>
      <c r="E24" s="200"/>
      <c r="F24" s="904" t="s">
        <v>184</v>
      </c>
      <c r="G24" s="906"/>
      <c r="H24" s="243" t="s">
        <v>38</v>
      </c>
      <c r="I24" s="205">
        <v>0</v>
      </c>
      <c r="J24" s="205"/>
      <c r="K24" s="206">
        <v>0</v>
      </c>
      <c r="L24" s="206"/>
      <c r="M24" s="206">
        <v>0</v>
      </c>
      <c r="N24" s="206"/>
      <c r="O24" s="206">
        <v>0</v>
      </c>
      <c r="P24" s="206"/>
      <c r="Q24" s="228">
        <v>0</v>
      </c>
      <c r="R24" s="206">
        <f t="shared" ref="R24:R29" si="1">I24*$C$3+K24+((M24*$C$3+O24)*Q24)</f>
        <v>0</v>
      </c>
      <c r="S24" s="206">
        <f t="shared" ref="S24:S29" si="2">J24*$C$3+L24+((N24*$C$3+P24)*$Q24)</f>
        <v>0</v>
      </c>
      <c r="T24" s="205">
        <f t="shared" si="0"/>
        <v>0</v>
      </c>
      <c r="U24" s="205">
        <f t="shared" si="0"/>
        <v>0</v>
      </c>
      <c r="V24" s="274" t="s">
        <v>304</v>
      </c>
      <c r="W24" s="208"/>
    </row>
    <row r="25" spans="1:23" ht="79.650000000000006" customHeight="1" x14ac:dyDescent="0.3">
      <c r="A25" s="200">
        <v>1.3</v>
      </c>
      <c r="B25" s="209" t="s">
        <v>188</v>
      </c>
      <c r="C25" s="200" t="s">
        <v>79</v>
      </c>
      <c r="D25" s="201" t="s">
        <v>81</v>
      </c>
      <c r="E25" s="200"/>
      <c r="F25" s="904" t="s">
        <v>185</v>
      </c>
      <c r="G25" s="906"/>
      <c r="H25" s="243" t="s">
        <v>186</v>
      </c>
      <c r="I25" s="205">
        <v>32</v>
      </c>
      <c r="J25" s="205">
        <v>40</v>
      </c>
      <c r="K25" s="206">
        <v>1000</v>
      </c>
      <c r="L25" s="206">
        <v>2000</v>
      </c>
      <c r="M25" s="205">
        <v>0</v>
      </c>
      <c r="N25" s="205"/>
      <c r="O25" s="206">
        <v>0</v>
      </c>
      <c r="P25" s="206"/>
      <c r="Q25" s="228">
        <v>0</v>
      </c>
      <c r="R25" s="206">
        <f t="shared" si="1"/>
        <v>4200</v>
      </c>
      <c r="S25" s="206">
        <f t="shared" si="2"/>
        <v>6000</v>
      </c>
      <c r="T25" s="205">
        <f t="shared" si="0"/>
        <v>32</v>
      </c>
      <c r="U25" s="205">
        <f t="shared" si="0"/>
        <v>40</v>
      </c>
      <c r="V25" s="274" t="s">
        <v>392</v>
      </c>
      <c r="W25" s="207" t="s">
        <v>597</v>
      </c>
    </row>
    <row r="26" spans="1:23" ht="79.650000000000006" customHeight="1" x14ac:dyDescent="0.3">
      <c r="A26" s="200">
        <v>1.4</v>
      </c>
      <c r="B26" s="200" t="s">
        <v>2</v>
      </c>
      <c r="C26" s="200" t="s">
        <v>79</v>
      </c>
      <c r="D26" s="201" t="s">
        <v>81</v>
      </c>
      <c r="E26" s="200"/>
      <c r="F26" s="904" t="s">
        <v>266</v>
      </c>
      <c r="G26" s="906"/>
      <c r="H26" s="213" t="s">
        <v>39</v>
      </c>
      <c r="I26" s="205">
        <v>0</v>
      </c>
      <c r="J26" s="205">
        <v>56</v>
      </c>
      <c r="K26" s="275">
        <v>0</v>
      </c>
      <c r="L26" s="275">
        <v>0</v>
      </c>
      <c r="M26" s="205">
        <v>0</v>
      </c>
      <c r="N26" s="205"/>
      <c r="O26" s="206">
        <v>0</v>
      </c>
      <c r="P26" s="206">
        <v>2000</v>
      </c>
      <c r="Q26" s="228">
        <v>5</v>
      </c>
      <c r="R26" s="206">
        <f t="shared" si="1"/>
        <v>0</v>
      </c>
      <c r="S26" s="206">
        <f t="shared" si="2"/>
        <v>15600</v>
      </c>
      <c r="T26" s="205">
        <f t="shared" si="0"/>
        <v>0</v>
      </c>
      <c r="U26" s="205">
        <f t="shared" si="0"/>
        <v>56</v>
      </c>
      <c r="V26" s="274" t="s">
        <v>596</v>
      </c>
      <c r="W26" s="207" t="s">
        <v>598</v>
      </c>
    </row>
    <row r="27" spans="1:23" ht="90.9" customHeight="1" x14ac:dyDescent="0.3">
      <c r="A27" s="200" t="s">
        <v>330</v>
      </c>
      <c r="B27" s="200" t="s">
        <v>171</v>
      </c>
      <c r="C27" s="200" t="s">
        <v>79</v>
      </c>
      <c r="D27" s="211" t="s">
        <v>82</v>
      </c>
      <c r="E27" s="200"/>
      <c r="F27" s="939" t="s">
        <v>333</v>
      </c>
      <c r="G27" s="940"/>
      <c r="H27" s="213" t="s">
        <v>39</v>
      </c>
      <c r="I27" s="205">
        <v>0</v>
      </c>
      <c r="J27" s="205"/>
      <c r="K27" s="275">
        <v>0</v>
      </c>
      <c r="L27" s="275"/>
      <c r="M27" s="276">
        <f>24*D4</f>
        <v>24</v>
      </c>
      <c r="N27" s="276">
        <f>40*E4</f>
        <v>40</v>
      </c>
      <c r="O27" s="206">
        <v>0</v>
      </c>
      <c r="P27" s="206"/>
      <c r="Q27" s="205">
        <v>5</v>
      </c>
      <c r="R27" s="217">
        <f t="shared" si="1"/>
        <v>12000</v>
      </c>
      <c r="S27" s="217">
        <f t="shared" si="2"/>
        <v>20000</v>
      </c>
      <c r="T27" s="278">
        <f t="shared" si="0"/>
        <v>120</v>
      </c>
      <c r="U27" s="278">
        <f t="shared" si="0"/>
        <v>200</v>
      </c>
      <c r="V27" s="273" t="s">
        <v>503</v>
      </c>
      <c r="W27" s="207" t="s">
        <v>599</v>
      </c>
    </row>
    <row r="28" spans="1:23" ht="57" customHeight="1" x14ac:dyDescent="0.3">
      <c r="A28" s="200" t="s">
        <v>331</v>
      </c>
      <c r="B28" s="200" t="s">
        <v>171</v>
      </c>
      <c r="C28" s="200" t="s">
        <v>79</v>
      </c>
      <c r="D28" s="211" t="s">
        <v>82</v>
      </c>
      <c r="E28" s="200"/>
      <c r="F28" s="939" t="s">
        <v>332</v>
      </c>
      <c r="G28" s="940"/>
      <c r="H28" s="213" t="s">
        <v>39</v>
      </c>
      <c r="I28" s="205">
        <v>0</v>
      </c>
      <c r="J28" s="205"/>
      <c r="K28" s="206">
        <v>0</v>
      </c>
      <c r="L28" s="206"/>
      <c r="M28" s="276">
        <f>4*D4*1</f>
        <v>4</v>
      </c>
      <c r="N28" s="276">
        <f>8*E4*1</f>
        <v>8</v>
      </c>
      <c r="O28" s="206">
        <v>0</v>
      </c>
      <c r="P28" s="206"/>
      <c r="Q28" s="205">
        <v>5</v>
      </c>
      <c r="R28" s="217">
        <f>I28*$C$3+K28+((M28*$C$3+O28)*Q28)</f>
        <v>2000</v>
      </c>
      <c r="S28" s="217">
        <f t="shared" si="2"/>
        <v>4000</v>
      </c>
      <c r="T28" s="278">
        <f t="shared" si="0"/>
        <v>20</v>
      </c>
      <c r="U28" s="278">
        <f t="shared" si="0"/>
        <v>40</v>
      </c>
      <c r="V28" s="273" t="s">
        <v>601</v>
      </c>
      <c r="W28" s="361" t="s">
        <v>600</v>
      </c>
    </row>
    <row r="29" spans="1:23" ht="51.9" customHeight="1" x14ac:dyDescent="0.3">
      <c r="A29" s="200">
        <v>1.5</v>
      </c>
      <c r="B29" s="200" t="s">
        <v>2</v>
      </c>
      <c r="C29" s="204"/>
      <c r="D29" s="277" t="s">
        <v>83</v>
      </c>
      <c r="E29" s="204" t="s">
        <v>91</v>
      </c>
      <c r="F29" s="918" t="s">
        <v>187</v>
      </c>
      <c r="G29" s="920"/>
      <c r="H29" s="213" t="s">
        <v>39</v>
      </c>
      <c r="I29" s="205">
        <v>0</v>
      </c>
      <c r="J29" s="205"/>
      <c r="K29" s="206">
        <v>0</v>
      </c>
      <c r="L29" s="206"/>
      <c r="M29" s="205">
        <v>0</v>
      </c>
      <c r="N29" s="205"/>
      <c r="O29" s="206">
        <v>0</v>
      </c>
      <c r="P29" s="206"/>
      <c r="Q29" s="205">
        <v>0</v>
      </c>
      <c r="R29" s="206">
        <f t="shared" si="1"/>
        <v>0</v>
      </c>
      <c r="S29" s="206">
        <f t="shared" si="2"/>
        <v>0</v>
      </c>
      <c r="T29" s="205">
        <f t="shared" si="0"/>
        <v>0</v>
      </c>
      <c r="U29" s="205">
        <f t="shared" si="0"/>
        <v>0</v>
      </c>
      <c r="V29" s="274" t="s">
        <v>329</v>
      </c>
      <c r="W29" s="200" t="s">
        <v>295</v>
      </c>
    </row>
    <row r="30" spans="1:23" ht="79.650000000000006" customHeight="1" x14ac:dyDescent="0.3">
      <c r="A30" s="218"/>
      <c r="B30" s="218"/>
      <c r="C30" s="218"/>
      <c r="D30" s="219"/>
      <c r="E30" s="218"/>
      <c r="F30" s="218"/>
      <c r="G30" s="270"/>
      <c r="H30" s="270"/>
      <c r="I30" s="221"/>
      <c r="J30" s="221"/>
      <c r="K30" s="222"/>
      <c r="L30" s="222"/>
      <c r="M30" s="222"/>
      <c r="N30" s="222"/>
      <c r="O30" s="222"/>
      <c r="P30" s="222"/>
      <c r="Q30" s="223" t="s">
        <v>545</v>
      </c>
      <c r="R30" s="224">
        <f>ROUND((SUM(R23:R29)-(R28+R27)),3-(INT(LOG((SUM(R23:R29)-(R28+R27)))+1)))</f>
        <v>4200</v>
      </c>
      <c r="S30" s="352">
        <f>ROUND((SUM(S23:S29)-(S28+S27)),3-(INT(LOG((SUM(S23:S29)-(S28+S27)))+1)))</f>
        <v>21600</v>
      </c>
      <c r="T30" s="353">
        <f>ROUND((SUM(T23:T29)-(T28+T27)),3-(INT(LOG((SUM(T23:T29)-(T28+T27)))+1)))</f>
        <v>32</v>
      </c>
      <c r="U30" s="353">
        <f>ROUND((SUM(U23:U29)-(U28+U27)),3-(INT(LOG((SUM(U23:U29)-(U28+U27)))+1)))</f>
        <v>96</v>
      </c>
      <c r="V30" s="225"/>
      <c r="W30" s="218"/>
    </row>
    <row r="31" spans="1:23" ht="79.650000000000006" customHeight="1" x14ac:dyDescent="0.3">
      <c r="A31" s="2"/>
      <c r="B31" s="2"/>
      <c r="D31" s="10"/>
    </row>
    <row r="32" spans="1:23" x14ac:dyDescent="0.3">
      <c r="D32" s="3"/>
    </row>
    <row r="33" spans="3:22" x14ac:dyDescent="0.3">
      <c r="D33" s="3"/>
    </row>
    <row r="34" spans="3:22" x14ac:dyDescent="0.3">
      <c r="D34" s="3"/>
    </row>
    <row r="35" spans="3:22" x14ac:dyDescent="0.3">
      <c r="C35"/>
      <c r="D35" s="3"/>
      <c r="E35"/>
      <c r="F35"/>
      <c r="I35"/>
      <c r="J35"/>
      <c r="K35"/>
      <c r="L35"/>
      <c r="M35"/>
      <c r="N35"/>
      <c r="O35"/>
      <c r="P35"/>
      <c r="Q35"/>
      <c r="R35"/>
      <c r="S35"/>
      <c r="T35"/>
      <c r="U35"/>
      <c r="V35"/>
    </row>
    <row r="36" spans="3:22" x14ac:dyDescent="0.3">
      <c r="C36"/>
      <c r="D36" s="3"/>
      <c r="E36"/>
      <c r="F36"/>
      <c r="I36"/>
      <c r="J36"/>
      <c r="K36"/>
      <c r="L36"/>
      <c r="M36"/>
      <c r="N36"/>
      <c r="O36"/>
      <c r="P36"/>
      <c r="Q36"/>
      <c r="R36"/>
      <c r="S36"/>
      <c r="T36"/>
      <c r="U36"/>
      <c r="V36"/>
    </row>
    <row r="37" spans="3:22" x14ac:dyDescent="0.3">
      <c r="C37"/>
      <c r="D37" s="3"/>
      <c r="E37"/>
      <c r="F37"/>
      <c r="I37"/>
      <c r="J37"/>
      <c r="K37"/>
      <c r="L37"/>
      <c r="M37"/>
      <c r="N37"/>
      <c r="O37"/>
      <c r="P37"/>
      <c r="Q37"/>
      <c r="R37"/>
      <c r="S37"/>
      <c r="T37"/>
      <c r="U37"/>
      <c r="V37"/>
    </row>
    <row r="38" spans="3:22" x14ac:dyDescent="0.3">
      <c r="C38"/>
      <c r="D38" s="8"/>
      <c r="E38"/>
      <c r="F38"/>
      <c r="I38"/>
      <c r="J38"/>
      <c r="K38"/>
      <c r="L38"/>
      <c r="M38"/>
      <c r="N38"/>
      <c r="O38"/>
      <c r="P38"/>
      <c r="Q38"/>
      <c r="R38"/>
      <c r="S38"/>
      <c r="T38"/>
      <c r="U38"/>
      <c r="V38"/>
    </row>
    <row r="39" spans="3:22" x14ac:dyDescent="0.3">
      <c r="C39"/>
      <c r="D39" s="3"/>
      <c r="E39"/>
      <c r="F39"/>
      <c r="I39"/>
      <c r="J39"/>
      <c r="K39"/>
      <c r="L39"/>
      <c r="M39"/>
      <c r="N39"/>
      <c r="O39"/>
      <c r="P39"/>
      <c r="Q39"/>
      <c r="R39"/>
      <c r="S39"/>
      <c r="T39"/>
      <c r="U39"/>
      <c r="V39"/>
    </row>
    <row r="40" spans="3:22" x14ac:dyDescent="0.3">
      <c r="C40"/>
      <c r="D40" s="11"/>
      <c r="E40"/>
      <c r="F40"/>
      <c r="I40"/>
      <c r="J40"/>
      <c r="K40"/>
      <c r="L40"/>
      <c r="M40"/>
      <c r="N40"/>
      <c r="O40"/>
      <c r="P40"/>
      <c r="Q40"/>
      <c r="R40"/>
      <c r="S40"/>
      <c r="T40"/>
      <c r="U40"/>
      <c r="V40"/>
    </row>
    <row r="41" spans="3:22" x14ac:dyDescent="0.3">
      <c r="C41"/>
      <c r="D41" s="11"/>
      <c r="E41"/>
      <c r="F41"/>
      <c r="I41"/>
      <c r="J41"/>
      <c r="K41"/>
      <c r="L41"/>
      <c r="M41"/>
      <c r="N41"/>
      <c r="O41"/>
      <c r="P41"/>
      <c r="Q41"/>
      <c r="R41"/>
      <c r="S41"/>
      <c r="T41"/>
      <c r="U41"/>
      <c r="V41"/>
    </row>
    <row r="42" spans="3:22" x14ac:dyDescent="0.3">
      <c r="C42"/>
      <c r="D42" s="11"/>
      <c r="E42"/>
      <c r="F42"/>
      <c r="I42"/>
      <c r="J42"/>
      <c r="K42"/>
      <c r="L42"/>
      <c r="M42"/>
      <c r="N42"/>
      <c r="O42"/>
      <c r="P42"/>
      <c r="Q42"/>
      <c r="R42"/>
      <c r="S42"/>
      <c r="T42"/>
      <c r="U42"/>
      <c r="V42"/>
    </row>
    <row r="43" spans="3:22" x14ac:dyDescent="0.3">
      <c r="C43"/>
      <c r="D43" s="11"/>
      <c r="E43"/>
      <c r="F43"/>
      <c r="I43"/>
      <c r="J43"/>
      <c r="K43"/>
      <c r="L43"/>
      <c r="M43"/>
      <c r="N43"/>
      <c r="O43"/>
      <c r="P43"/>
      <c r="Q43"/>
      <c r="R43"/>
      <c r="S43"/>
      <c r="T43"/>
      <c r="U43"/>
      <c r="V43"/>
    </row>
    <row r="44" spans="3:22" x14ac:dyDescent="0.3">
      <c r="C44"/>
      <c r="D44" s="11"/>
      <c r="E44"/>
      <c r="F44"/>
      <c r="I44"/>
      <c r="J44"/>
      <c r="K44"/>
      <c r="L44"/>
      <c r="M44"/>
      <c r="N44"/>
      <c r="O44"/>
      <c r="P44"/>
      <c r="Q44"/>
      <c r="R44"/>
      <c r="S44"/>
      <c r="T44"/>
      <c r="U44"/>
      <c r="V44"/>
    </row>
    <row r="45" spans="3:22" x14ac:dyDescent="0.3">
      <c r="C45"/>
      <c r="D45" s="3"/>
      <c r="E45"/>
      <c r="F45"/>
      <c r="I45"/>
      <c r="J45"/>
      <c r="K45"/>
      <c r="L45"/>
      <c r="M45"/>
      <c r="N45"/>
      <c r="O45"/>
      <c r="P45"/>
      <c r="Q45"/>
      <c r="R45"/>
      <c r="S45"/>
      <c r="T45"/>
      <c r="U45"/>
      <c r="V45"/>
    </row>
    <row r="46" spans="3:22" x14ac:dyDescent="0.3">
      <c r="C46"/>
      <c r="D46" s="3"/>
      <c r="E46"/>
      <c r="F46"/>
      <c r="I46"/>
      <c r="J46"/>
      <c r="K46"/>
      <c r="L46"/>
      <c r="M46"/>
      <c r="N46"/>
      <c r="O46"/>
      <c r="P46"/>
      <c r="Q46"/>
      <c r="R46"/>
      <c r="S46"/>
      <c r="T46"/>
      <c r="U46"/>
      <c r="V46"/>
    </row>
    <row r="47" spans="3:22" x14ac:dyDescent="0.3">
      <c r="C47"/>
      <c r="D47" s="3"/>
      <c r="E47"/>
      <c r="F47"/>
      <c r="I47"/>
      <c r="J47"/>
      <c r="K47"/>
      <c r="L47"/>
      <c r="M47"/>
      <c r="N47"/>
      <c r="O47"/>
      <c r="P47"/>
      <c r="Q47"/>
      <c r="R47"/>
      <c r="S47"/>
      <c r="T47"/>
      <c r="U47"/>
      <c r="V47"/>
    </row>
    <row r="48" spans="3:22" x14ac:dyDescent="0.3">
      <c r="C48"/>
      <c r="D48" s="3"/>
      <c r="E48"/>
      <c r="F48"/>
      <c r="I48"/>
      <c r="J48"/>
      <c r="K48"/>
      <c r="L48"/>
      <c r="M48"/>
      <c r="N48"/>
      <c r="O48"/>
      <c r="P48"/>
      <c r="Q48"/>
      <c r="R48"/>
      <c r="S48"/>
      <c r="T48"/>
      <c r="U48"/>
      <c r="V48"/>
    </row>
    <row r="49" spans="3:22" x14ac:dyDescent="0.3">
      <c r="C49"/>
      <c r="D49" s="8"/>
      <c r="E49"/>
      <c r="F49"/>
      <c r="I49"/>
      <c r="J49"/>
      <c r="K49"/>
      <c r="L49"/>
      <c r="M49"/>
      <c r="N49"/>
      <c r="O49"/>
      <c r="P49"/>
      <c r="Q49"/>
      <c r="R49"/>
      <c r="S49"/>
      <c r="T49"/>
      <c r="U49"/>
      <c r="V49"/>
    </row>
    <row r="50" spans="3:22" x14ac:dyDescent="0.3">
      <c r="C50"/>
      <c r="D50" s="8"/>
      <c r="E50"/>
      <c r="F50"/>
      <c r="I50"/>
      <c r="J50"/>
      <c r="K50"/>
      <c r="L50"/>
      <c r="M50"/>
      <c r="N50"/>
      <c r="O50"/>
      <c r="P50"/>
      <c r="Q50"/>
      <c r="R50"/>
      <c r="S50"/>
      <c r="T50"/>
      <c r="U50"/>
      <c r="V50"/>
    </row>
    <row r="51" spans="3:22" x14ac:dyDescent="0.3">
      <c r="C51"/>
      <c r="D51" s="3"/>
      <c r="E51"/>
      <c r="F51"/>
      <c r="I51"/>
      <c r="J51"/>
      <c r="K51"/>
      <c r="L51"/>
      <c r="M51"/>
      <c r="N51"/>
      <c r="O51"/>
      <c r="P51"/>
      <c r="Q51"/>
      <c r="R51"/>
      <c r="S51"/>
      <c r="T51"/>
      <c r="U51"/>
      <c r="V51"/>
    </row>
    <row r="52" spans="3:22" x14ac:dyDescent="0.3">
      <c r="C52"/>
      <c r="D52" s="3"/>
      <c r="E52"/>
      <c r="F52"/>
      <c r="I52"/>
      <c r="J52"/>
      <c r="K52"/>
      <c r="L52"/>
      <c r="M52"/>
      <c r="N52"/>
      <c r="O52"/>
      <c r="P52"/>
      <c r="Q52"/>
      <c r="R52"/>
      <c r="S52"/>
      <c r="T52"/>
      <c r="U52"/>
      <c r="V52"/>
    </row>
    <row r="53" spans="3:22" x14ac:dyDescent="0.3">
      <c r="C53"/>
      <c r="D53" s="3"/>
      <c r="E53"/>
      <c r="F53"/>
      <c r="I53"/>
      <c r="J53"/>
      <c r="K53"/>
      <c r="L53"/>
      <c r="M53"/>
      <c r="N53"/>
      <c r="O53"/>
      <c r="P53"/>
      <c r="Q53"/>
      <c r="R53"/>
      <c r="S53"/>
      <c r="T53"/>
      <c r="U53"/>
      <c r="V53"/>
    </row>
    <row r="54" spans="3:22" x14ac:dyDescent="0.3">
      <c r="C54"/>
      <c r="D54" s="3"/>
      <c r="E54"/>
      <c r="F54"/>
      <c r="I54"/>
      <c r="J54"/>
      <c r="K54"/>
      <c r="L54"/>
      <c r="M54"/>
      <c r="N54"/>
      <c r="O54"/>
      <c r="P54"/>
      <c r="Q54"/>
      <c r="R54"/>
      <c r="S54"/>
      <c r="T54"/>
      <c r="U54"/>
      <c r="V54"/>
    </row>
    <row r="55" spans="3:22" x14ac:dyDescent="0.3">
      <c r="C55"/>
      <c r="D55" s="3"/>
      <c r="E55"/>
      <c r="F55"/>
      <c r="I55"/>
      <c r="J55"/>
      <c r="K55"/>
      <c r="L55"/>
      <c r="M55"/>
      <c r="N55"/>
      <c r="O55"/>
      <c r="P55"/>
      <c r="Q55"/>
      <c r="R55"/>
      <c r="S55"/>
      <c r="T55"/>
      <c r="U55"/>
      <c r="V55"/>
    </row>
    <row r="56" spans="3:22" x14ac:dyDescent="0.3">
      <c r="C56"/>
      <c r="D56" s="3"/>
      <c r="E56"/>
      <c r="F56"/>
      <c r="I56"/>
      <c r="J56"/>
      <c r="K56"/>
      <c r="L56"/>
      <c r="M56"/>
      <c r="N56"/>
      <c r="O56"/>
      <c r="P56"/>
      <c r="Q56"/>
      <c r="R56"/>
      <c r="S56"/>
      <c r="T56"/>
      <c r="U56"/>
      <c r="V56"/>
    </row>
    <row r="57" spans="3:22" x14ac:dyDescent="0.3">
      <c r="C57"/>
      <c r="D57" s="3"/>
      <c r="E57"/>
      <c r="F57"/>
      <c r="I57"/>
      <c r="J57"/>
      <c r="K57"/>
      <c r="L57"/>
      <c r="M57"/>
      <c r="N57"/>
      <c r="O57"/>
      <c r="P57"/>
      <c r="Q57"/>
      <c r="R57"/>
      <c r="S57"/>
      <c r="T57"/>
      <c r="U57"/>
      <c r="V57"/>
    </row>
    <row r="58" spans="3:22" x14ac:dyDescent="0.3">
      <c r="C58"/>
      <c r="D58" s="2"/>
      <c r="E58"/>
      <c r="F58"/>
      <c r="I58"/>
      <c r="J58"/>
      <c r="K58"/>
      <c r="L58"/>
      <c r="M58"/>
      <c r="N58"/>
      <c r="O58"/>
      <c r="P58"/>
      <c r="Q58"/>
      <c r="R58"/>
      <c r="S58"/>
      <c r="T58"/>
      <c r="U58"/>
      <c r="V58"/>
    </row>
  </sheetData>
  <mergeCells count="31">
    <mergeCell ref="V19:V21"/>
    <mergeCell ref="A4:B4"/>
    <mergeCell ref="W19:W21"/>
    <mergeCell ref="R20:S20"/>
    <mergeCell ref="T20:U20"/>
    <mergeCell ref="I19:L19"/>
    <mergeCell ref="M19:Q19"/>
    <mergeCell ref="D19:D21"/>
    <mergeCell ref="R19:U19"/>
    <mergeCell ref="O20:P20"/>
    <mergeCell ref="M20:N20"/>
    <mergeCell ref="K20:L20"/>
    <mergeCell ref="C19:C21"/>
    <mergeCell ref="F29:G29"/>
    <mergeCell ref="F22:G22"/>
    <mergeCell ref="F23:G23"/>
    <mergeCell ref="F24:G24"/>
    <mergeCell ref="F25:G25"/>
    <mergeCell ref="F26:G26"/>
    <mergeCell ref="F28:G28"/>
    <mergeCell ref="F27:G27"/>
    <mergeCell ref="A1:E1"/>
    <mergeCell ref="E19:E21"/>
    <mergeCell ref="I20:J20"/>
    <mergeCell ref="H19:H21"/>
    <mergeCell ref="A3:B3"/>
    <mergeCell ref="B6:C6"/>
    <mergeCell ref="D6:E6"/>
    <mergeCell ref="A19:A21"/>
    <mergeCell ref="B19:B21"/>
    <mergeCell ref="F19:G21"/>
  </mergeCells>
  <phoneticPr fontId="1" type="noConversion"/>
  <pageMargins left="0.7" right="0.7" top="0.75" bottom="0.75" header="0.3" footer="0.3"/>
  <pageSetup scale="26" orientation="landscape"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33"/>
  <sheetViews>
    <sheetView topLeftCell="D24" zoomScale="75" zoomScaleNormal="75" workbookViewId="0">
      <selection activeCell="V22" sqref="V22"/>
    </sheetView>
  </sheetViews>
  <sheetFormatPr defaultColWidth="8.88671875" defaultRowHeight="14.4" x14ac:dyDescent="0.3"/>
  <cols>
    <col min="1" max="1" width="15.6640625" customWidth="1"/>
    <col min="2" max="2" width="10" bestFit="1" customWidth="1"/>
    <col min="3" max="3" width="10.44140625" style="1" customWidth="1"/>
    <col min="4" max="4" width="12.33203125" customWidth="1"/>
    <col min="5" max="5" width="8.33203125" style="1" customWidth="1"/>
    <col min="6" max="6" width="5.6640625" style="1" customWidth="1"/>
    <col min="7" max="7" width="94.6640625" customWidth="1"/>
    <col min="8" max="8" width="23.109375" customWidth="1"/>
    <col min="9" max="10" width="10.6640625" style="21" customWidth="1"/>
    <col min="11" max="12" width="11.33203125" style="24" customWidth="1"/>
    <col min="13" max="17" width="10.6640625" style="24" customWidth="1"/>
    <col min="18" max="21" width="13.44140625" style="24" customWidth="1"/>
    <col min="22" max="22" width="57.44140625" style="7" customWidth="1"/>
    <col min="23" max="23" width="36.88671875" customWidth="1"/>
  </cols>
  <sheetData>
    <row r="1" spans="1:23" s="47" customFormat="1" ht="21.9" customHeight="1" x14ac:dyDescent="0.3">
      <c r="A1" s="719" t="s">
        <v>531</v>
      </c>
      <c r="B1" s="720"/>
      <c r="C1" s="721"/>
    </row>
    <row r="2" spans="1:23" s="47" customFormat="1" ht="21.9" customHeight="1" x14ac:dyDescent="0.3">
      <c r="A2" s="727" t="s">
        <v>382</v>
      </c>
      <c r="B2" s="728"/>
      <c r="C2" s="279">
        <f>'Cover Sheet'!B8</f>
        <v>100</v>
      </c>
    </row>
    <row r="3" spans="1:23" s="47" customFormat="1" ht="49.65" customHeight="1" x14ac:dyDescent="0.3">
      <c r="A3" s="941" t="s">
        <v>546</v>
      </c>
      <c r="B3" s="942"/>
      <c r="C3" s="280">
        <f>'Cover Sheet'!B23</f>
        <v>65</v>
      </c>
    </row>
    <row r="4" spans="1:23" ht="21.9" customHeight="1" x14ac:dyDescent="0.3">
      <c r="C4"/>
      <c r="D4" s="3"/>
      <c r="E4"/>
      <c r="F4"/>
      <c r="I4"/>
      <c r="J4"/>
      <c r="K4"/>
      <c r="L4"/>
      <c r="M4"/>
      <c r="N4"/>
      <c r="O4"/>
      <c r="P4"/>
      <c r="Q4"/>
      <c r="R4"/>
      <c r="S4"/>
      <c r="T4"/>
      <c r="U4"/>
      <c r="V4"/>
    </row>
    <row r="5" spans="1:23" ht="21.9" customHeight="1" x14ac:dyDescent="0.3">
      <c r="A5" s="72"/>
      <c r="B5" s="720" t="s">
        <v>533</v>
      </c>
      <c r="C5" s="720"/>
      <c r="D5" s="720" t="s">
        <v>294</v>
      </c>
      <c r="E5" s="721"/>
      <c r="F5"/>
      <c r="I5"/>
      <c r="J5"/>
      <c r="K5"/>
      <c r="L5"/>
      <c r="M5"/>
      <c r="N5"/>
      <c r="O5"/>
      <c r="P5"/>
      <c r="Q5"/>
      <c r="R5"/>
      <c r="S5"/>
      <c r="T5"/>
      <c r="U5"/>
      <c r="V5"/>
    </row>
    <row r="6" spans="1:23" ht="21.9" customHeight="1" x14ac:dyDescent="0.3">
      <c r="A6" s="102"/>
      <c r="B6" s="103" t="s">
        <v>340</v>
      </c>
      <c r="C6" s="103" t="s">
        <v>341</v>
      </c>
      <c r="D6" s="103" t="s">
        <v>340</v>
      </c>
      <c r="E6" s="104" t="s">
        <v>341</v>
      </c>
      <c r="F6"/>
      <c r="I6"/>
      <c r="J6"/>
      <c r="K6"/>
      <c r="L6"/>
      <c r="M6"/>
      <c r="N6"/>
      <c r="O6"/>
      <c r="P6"/>
      <c r="Q6"/>
      <c r="R6"/>
      <c r="S6"/>
      <c r="T6"/>
      <c r="U6"/>
      <c r="V6"/>
    </row>
    <row r="7" spans="1:23" ht="21.9" customHeight="1" x14ac:dyDescent="0.3">
      <c r="A7" s="85" t="s">
        <v>83</v>
      </c>
      <c r="B7" s="86">
        <f>R20+R23+R26+R28+R31</f>
        <v>0</v>
      </c>
      <c r="C7" s="86">
        <f>S20+S23+S26+S28+S31</f>
        <v>0</v>
      </c>
      <c r="D7" s="232">
        <f>T20+T23+T26+T28+T31</f>
        <v>0</v>
      </c>
      <c r="E7" s="232">
        <f>U20+U23+U26+U28+U31</f>
        <v>0</v>
      </c>
      <c r="F7"/>
      <c r="I7"/>
      <c r="J7"/>
      <c r="K7"/>
      <c r="L7"/>
      <c r="M7"/>
      <c r="N7"/>
      <c r="O7"/>
      <c r="P7"/>
      <c r="Q7"/>
      <c r="R7"/>
      <c r="S7"/>
      <c r="T7"/>
      <c r="U7"/>
      <c r="V7"/>
    </row>
    <row r="8" spans="1:23" ht="21.9" customHeight="1" x14ac:dyDescent="0.3">
      <c r="A8" s="90" t="s">
        <v>534</v>
      </c>
      <c r="B8" s="91">
        <f>ROUND((R18+R19+R22+R25+R30),3-(INT(LOG((R18+R19+R22+R25+R30))+1)))</f>
        <v>65200</v>
      </c>
      <c r="C8" s="323">
        <f>ROUND((S18+S19+S22+S25+S30),3-(INT(LOG((S18+S19+S22+S25+S30))+1)))</f>
        <v>82400</v>
      </c>
      <c r="D8" s="286">
        <f>ROUND((T18+T19+T22+T25+T30),3-(INT(LOG((T18+T19+T22+T25+T30))+1)))</f>
        <v>622</v>
      </c>
      <c r="E8" s="286">
        <f>ROUND((U18+U19+U22+U25+U30),3-(INT(LOG((U18+U19+U22+U25+U30))+1)))</f>
        <v>764</v>
      </c>
      <c r="F8"/>
      <c r="I8"/>
      <c r="J8"/>
      <c r="K8"/>
      <c r="L8"/>
      <c r="M8"/>
      <c r="N8"/>
      <c r="O8"/>
      <c r="P8"/>
      <c r="Q8"/>
      <c r="R8"/>
      <c r="S8"/>
      <c r="T8"/>
      <c r="U8"/>
      <c r="V8"/>
    </row>
    <row r="9" spans="1:23" ht="21.9" customHeight="1" x14ac:dyDescent="0.3">
      <c r="A9" s="94" t="s">
        <v>82</v>
      </c>
      <c r="B9" s="95">
        <v>0</v>
      </c>
      <c r="C9" s="95">
        <v>0</v>
      </c>
      <c r="D9" s="272">
        <v>0</v>
      </c>
      <c r="E9" s="272">
        <v>0</v>
      </c>
      <c r="F9"/>
      <c r="I9"/>
      <c r="J9"/>
      <c r="K9"/>
      <c r="L9"/>
      <c r="M9"/>
      <c r="N9"/>
      <c r="O9"/>
      <c r="P9"/>
      <c r="Q9"/>
      <c r="R9"/>
      <c r="S9"/>
      <c r="T9"/>
      <c r="U9"/>
      <c r="V9"/>
    </row>
    <row r="10" spans="1:23" ht="21.9" customHeight="1" x14ac:dyDescent="0.3">
      <c r="A10" s="98" t="s">
        <v>532</v>
      </c>
      <c r="B10" s="99">
        <f>R32</f>
        <v>65200</v>
      </c>
      <c r="C10" s="99">
        <f>S32</f>
        <v>82400</v>
      </c>
      <c r="D10" s="178">
        <f>T32</f>
        <v>622</v>
      </c>
      <c r="E10" s="178">
        <f>U32</f>
        <v>764</v>
      </c>
      <c r="F10"/>
      <c r="I10"/>
      <c r="J10"/>
      <c r="K10"/>
      <c r="L10"/>
      <c r="M10"/>
      <c r="N10"/>
      <c r="O10"/>
      <c r="P10"/>
      <c r="Q10"/>
      <c r="R10"/>
      <c r="S10"/>
      <c r="T10"/>
      <c r="U10"/>
      <c r="V10"/>
    </row>
    <row r="14" spans="1:23" x14ac:dyDescent="0.3">
      <c r="A14" s="859" t="s">
        <v>0</v>
      </c>
      <c r="B14" s="859" t="s">
        <v>49</v>
      </c>
      <c r="C14" s="860" t="s">
        <v>52</v>
      </c>
      <c r="D14" s="860" t="s">
        <v>136</v>
      </c>
      <c r="E14" s="860" t="s">
        <v>90</v>
      </c>
      <c r="F14" s="861" t="s">
        <v>40</v>
      </c>
      <c r="G14" s="862"/>
      <c r="H14" s="858" t="s">
        <v>1</v>
      </c>
      <c r="I14" s="851" t="s">
        <v>551</v>
      </c>
      <c r="J14" s="851"/>
      <c r="K14" s="851"/>
      <c r="L14" s="851"/>
      <c r="M14" s="852" t="s">
        <v>552</v>
      </c>
      <c r="N14" s="853"/>
      <c r="O14" s="853"/>
      <c r="P14" s="853"/>
      <c r="Q14" s="952" t="s">
        <v>299</v>
      </c>
      <c r="R14" s="852" t="s">
        <v>553</v>
      </c>
      <c r="S14" s="853"/>
      <c r="T14" s="853"/>
      <c r="U14" s="854"/>
      <c r="V14" s="313"/>
      <c r="W14" s="314"/>
    </row>
    <row r="15" spans="1:23" ht="94.5" customHeight="1" x14ac:dyDescent="0.3">
      <c r="A15" s="770"/>
      <c r="B15" s="770"/>
      <c r="C15" s="773"/>
      <c r="D15" s="773"/>
      <c r="E15" s="773"/>
      <c r="F15" s="863"/>
      <c r="G15" s="864"/>
      <c r="H15" s="776"/>
      <c r="I15" s="851" t="s">
        <v>294</v>
      </c>
      <c r="J15" s="851"/>
      <c r="K15" s="781" t="s">
        <v>504</v>
      </c>
      <c r="L15" s="781"/>
      <c r="M15" s="850" t="s">
        <v>357</v>
      </c>
      <c r="N15" s="850"/>
      <c r="O15" s="850" t="s">
        <v>504</v>
      </c>
      <c r="P15" s="850"/>
      <c r="Q15" s="930"/>
      <c r="R15" s="943" t="s">
        <v>362</v>
      </c>
      <c r="S15" s="944"/>
      <c r="T15" s="945" t="s">
        <v>526</v>
      </c>
      <c r="U15" s="946"/>
      <c r="V15" s="310" t="s">
        <v>297</v>
      </c>
      <c r="W15" s="303" t="s">
        <v>296</v>
      </c>
    </row>
    <row r="16" spans="1:23" ht="20.25" customHeight="1" x14ac:dyDescent="0.3">
      <c r="A16" s="771"/>
      <c r="B16" s="771"/>
      <c r="C16" s="774"/>
      <c r="D16" s="774"/>
      <c r="E16" s="774"/>
      <c r="F16" s="865"/>
      <c r="G16" s="866"/>
      <c r="H16" s="777"/>
      <c r="I16" s="300" t="s">
        <v>340</v>
      </c>
      <c r="J16" s="300" t="s">
        <v>341</v>
      </c>
      <c r="K16" s="301" t="s">
        <v>340</v>
      </c>
      <c r="L16" s="301" t="s">
        <v>341</v>
      </c>
      <c r="M16" s="302" t="s">
        <v>340</v>
      </c>
      <c r="N16" s="302" t="s">
        <v>341</v>
      </c>
      <c r="O16" s="302" t="s">
        <v>340</v>
      </c>
      <c r="P16" s="302" t="s">
        <v>341</v>
      </c>
      <c r="Q16" s="931"/>
      <c r="R16" s="302" t="s">
        <v>340</v>
      </c>
      <c r="S16" s="302" t="s">
        <v>341</v>
      </c>
      <c r="T16" s="302" t="s">
        <v>340</v>
      </c>
      <c r="U16" s="302" t="s">
        <v>341</v>
      </c>
      <c r="V16" s="310"/>
      <c r="W16" s="303"/>
    </row>
    <row r="17" spans="1:23" ht="54" customHeight="1" x14ac:dyDescent="0.3">
      <c r="A17" s="190">
        <v>1</v>
      </c>
      <c r="B17" s="281"/>
      <c r="C17" s="282"/>
      <c r="D17" s="282"/>
      <c r="E17" s="282"/>
      <c r="F17" s="950" t="s">
        <v>191</v>
      </c>
      <c r="G17" s="951"/>
      <c r="H17" s="239"/>
      <c r="I17" s="192"/>
      <c r="J17" s="192"/>
      <c r="K17" s="193"/>
      <c r="L17" s="193"/>
      <c r="M17" s="193"/>
      <c r="N17" s="193"/>
      <c r="O17" s="193"/>
      <c r="P17" s="193"/>
      <c r="Q17" s="193"/>
      <c r="R17" s="193"/>
      <c r="S17" s="193"/>
      <c r="T17" s="193"/>
      <c r="U17" s="193"/>
      <c r="V17" s="194"/>
      <c r="W17" s="195"/>
    </row>
    <row r="18" spans="1:23" ht="96.9" customHeight="1" x14ac:dyDescent="0.3">
      <c r="A18" s="200">
        <v>1.1000000000000001</v>
      </c>
      <c r="B18" s="209" t="s">
        <v>188</v>
      </c>
      <c r="C18" s="200" t="s">
        <v>97</v>
      </c>
      <c r="D18" s="201" t="s">
        <v>81</v>
      </c>
      <c r="E18" s="200"/>
      <c r="F18" s="838" t="s">
        <v>391</v>
      </c>
      <c r="G18" s="839"/>
      <c r="H18" s="204" t="s">
        <v>41</v>
      </c>
      <c r="I18" s="205">
        <v>32</v>
      </c>
      <c r="J18" s="205">
        <v>40</v>
      </c>
      <c r="K18" s="206">
        <v>1000</v>
      </c>
      <c r="L18" s="206">
        <v>2000</v>
      </c>
      <c r="M18" s="205">
        <v>0</v>
      </c>
      <c r="N18" s="205"/>
      <c r="O18" s="205">
        <v>0</v>
      </c>
      <c r="P18" s="205"/>
      <c r="Q18" s="205">
        <v>0</v>
      </c>
      <c r="R18" s="206">
        <f>I18*$C$2+K18+((M18*$C$2+O18)*$Q18)</f>
        <v>4200</v>
      </c>
      <c r="S18" s="206">
        <f>J18*$C$2+L18+((N18*$C$2+P18)*$Q18)</f>
        <v>6000</v>
      </c>
      <c r="T18" s="205">
        <f t="shared" ref="T18:U20" si="0">I18+(M18*5)</f>
        <v>32</v>
      </c>
      <c r="U18" s="205">
        <f t="shared" si="0"/>
        <v>40</v>
      </c>
      <c r="V18" s="207" t="s">
        <v>393</v>
      </c>
      <c r="W18" s="207" t="s">
        <v>298</v>
      </c>
    </row>
    <row r="19" spans="1:23" ht="96.9" customHeight="1" x14ac:dyDescent="0.3">
      <c r="A19" s="200">
        <v>1.2</v>
      </c>
      <c r="B19" s="200" t="s">
        <v>2</v>
      </c>
      <c r="C19" s="200" t="s">
        <v>97</v>
      </c>
      <c r="D19" s="201" t="s">
        <v>81</v>
      </c>
      <c r="E19" s="200"/>
      <c r="F19" s="838" t="s">
        <v>268</v>
      </c>
      <c r="G19" s="839"/>
      <c r="H19" s="200" t="s">
        <v>42</v>
      </c>
      <c r="I19" s="205">
        <v>8</v>
      </c>
      <c r="J19" s="205">
        <v>40</v>
      </c>
      <c r="K19" s="412">
        <v>1000</v>
      </c>
      <c r="L19" s="398">
        <v>2000</v>
      </c>
      <c r="M19" s="205">
        <v>0</v>
      </c>
      <c r="N19" s="205"/>
      <c r="O19" s="412">
        <v>0</v>
      </c>
      <c r="P19" s="412"/>
      <c r="Q19" s="205">
        <v>0</v>
      </c>
      <c r="R19" s="206">
        <f>I19*$C$2+K19+((M19*$C$2+O19)*Q19)</f>
        <v>1800</v>
      </c>
      <c r="S19" s="206">
        <f>J19*$C$2+L19+((N19*$C$2+P19)*$Q19)</f>
        <v>6000</v>
      </c>
      <c r="T19" s="205">
        <f t="shared" si="0"/>
        <v>8</v>
      </c>
      <c r="U19" s="205">
        <f t="shared" si="0"/>
        <v>40</v>
      </c>
      <c r="V19" s="283" t="s">
        <v>603</v>
      </c>
      <c r="W19" s="208" t="s">
        <v>523</v>
      </c>
    </row>
    <row r="20" spans="1:23" ht="96.9" customHeight="1" x14ac:dyDescent="0.3">
      <c r="A20" s="200">
        <v>1.3</v>
      </c>
      <c r="B20" s="200" t="s">
        <v>2</v>
      </c>
      <c r="C20" s="204"/>
      <c r="D20" s="277" t="s">
        <v>83</v>
      </c>
      <c r="E20" s="204" t="s">
        <v>91</v>
      </c>
      <c r="F20" s="882" t="s">
        <v>190</v>
      </c>
      <c r="G20" s="884"/>
      <c r="H20" s="204" t="s">
        <v>42</v>
      </c>
      <c r="I20" s="205">
        <v>0</v>
      </c>
      <c r="J20" s="205"/>
      <c r="K20" s="206">
        <v>0</v>
      </c>
      <c r="L20" s="206"/>
      <c r="M20" s="205">
        <v>0</v>
      </c>
      <c r="N20" s="205"/>
      <c r="O20" s="205">
        <v>0</v>
      </c>
      <c r="P20" s="205"/>
      <c r="Q20" s="205">
        <v>0</v>
      </c>
      <c r="R20" s="206">
        <f>I20*$C$2+K20+((M20*$C$2+O20)*Q20)</f>
        <v>0</v>
      </c>
      <c r="S20" s="206">
        <f>J20*$C$2+L20+((N20*$C$2+P20)*$Q20)</f>
        <v>0</v>
      </c>
      <c r="T20" s="205">
        <f t="shared" si="0"/>
        <v>0</v>
      </c>
      <c r="U20" s="205">
        <f t="shared" si="0"/>
        <v>0</v>
      </c>
      <c r="V20" s="207" t="s">
        <v>329</v>
      </c>
      <c r="W20" s="207" t="s">
        <v>295</v>
      </c>
    </row>
    <row r="21" spans="1:23" ht="52.65" customHeight="1" x14ac:dyDescent="0.3">
      <c r="A21" s="190">
        <v>2</v>
      </c>
      <c r="B21" s="191"/>
      <c r="C21" s="191"/>
      <c r="D21" s="284"/>
      <c r="E21" s="195"/>
      <c r="F21" s="285" t="s">
        <v>192</v>
      </c>
      <c r="G21" s="195"/>
      <c r="H21" s="195"/>
      <c r="I21" s="192"/>
      <c r="J21" s="192"/>
      <c r="K21" s="193"/>
      <c r="L21" s="193"/>
      <c r="M21" s="193"/>
      <c r="N21" s="193"/>
      <c r="O21" s="193"/>
      <c r="P21" s="193"/>
      <c r="Q21" s="193"/>
      <c r="R21" s="193"/>
      <c r="S21" s="193"/>
      <c r="T21" s="193"/>
      <c r="U21" s="193"/>
      <c r="V21" s="194"/>
      <c r="W21" s="195"/>
    </row>
    <row r="22" spans="1:23" ht="96.9" customHeight="1" x14ac:dyDescent="0.3">
      <c r="A22" s="200">
        <v>2.1</v>
      </c>
      <c r="B22" s="207" t="s">
        <v>188</v>
      </c>
      <c r="C22" s="204" t="s">
        <v>126</v>
      </c>
      <c r="D22" s="203" t="s">
        <v>81</v>
      </c>
      <c r="E22" s="204"/>
      <c r="F22" s="838" t="s">
        <v>193</v>
      </c>
      <c r="G22" s="839"/>
      <c r="H22" s="204" t="s">
        <v>43</v>
      </c>
      <c r="I22" s="205">
        <v>62</v>
      </c>
      <c r="J22" s="205">
        <v>116</v>
      </c>
      <c r="K22" s="206">
        <v>1000</v>
      </c>
      <c r="L22" s="206">
        <v>2000</v>
      </c>
      <c r="M22" s="205">
        <v>0</v>
      </c>
      <c r="N22" s="205"/>
      <c r="O22" s="205">
        <v>0</v>
      </c>
      <c r="P22" s="205"/>
      <c r="Q22" s="205">
        <v>0</v>
      </c>
      <c r="R22" s="206">
        <f>I22*$C$2+K22+((M22*$C$2+O22)*Q22)</f>
        <v>7200</v>
      </c>
      <c r="S22" s="206">
        <f>J22*$C$2+L22+((N22*$C$2+P22)*$Q22)</f>
        <v>13600</v>
      </c>
      <c r="T22" s="205">
        <f>I22+(M22*5)</f>
        <v>62</v>
      </c>
      <c r="U22" s="205">
        <f>J22+(N22*5)</f>
        <v>116</v>
      </c>
      <c r="V22" s="207" t="s">
        <v>394</v>
      </c>
      <c r="W22" s="207" t="s">
        <v>307</v>
      </c>
    </row>
    <row r="23" spans="1:23" ht="96.9" customHeight="1" x14ac:dyDescent="0.3">
      <c r="A23" s="200">
        <v>2.2000000000000002</v>
      </c>
      <c r="B23" s="204" t="s">
        <v>2</v>
      </c>
      <c r="C23" s="204"/>
      <c r="D23" s="277" t="s">
        <v>83</v>
      </c>
      <c r="E23" s="204" t="s">
        <v>91</v>
      </c>
      <c r="F23" s="882" t="s">
        <v>194</v>
      </c>
      <c r="G23" s="884"/>
      <c r="H23" s="204" t="s">
        <v>43</v>
      </c>
      <c r="I23" s="205">
        <v>0</v>
      </c>
      <c r="J23" s="205"/>
      <c r="K23" s="206">
        <v>0</v>
      </c>
      <c r="L23" s="206"/>
      <c r="M23" s="205">
        <v>0</v>
      </c>
      <c r="N23" s="205"/>
      <c r="O23" s="205">
        <v>0</v>
      </c>
      <c r="P23" s="205"/>
      <c r="Q23" s="205">
        <v>0</v>
      </c>
      <c r="R23" s="206">
        <f>I23*$C$2+K23+((M23*$C$2+O23)*Q23)</f>
        <v>0</v>
      </c>
      <c r="S23" s="206">
        <f>J23*$C$2+L23+((N23*$C$2+P23)*$Q23)</f>
        <v>0</v>
      </c>
      <c r="T23" s="205">
        <f>I23+(M23*5)</f>
        <v>0</v>
      </c>
      <c r="U23" s="205">
        <f>J23+(N23*5)</f>
        <v>0</v>
      </c>
      <c r="V23" s="207" t="s">
        <v>329</v>
      </c>
      <c r="W23" s="204" t="s">
        <v>295</v>
      </c>
    </row>
    <row r="24" spans="1:23" ht="48.9" customHeight="1" x14ac:dyDescent="0.3">
      <c r="A24" s="190">
        <v>3</v>
      </c>
      <c r="B24" s="191"/>
      <c r="C24" s="191"/>
      <c r="D24" s="284"/>
      <c r="E24" s="195"/>
      <c r="F24" s="285" t="s">
        <v>328</v>
      </c>
      <c r="G24" s="195"/>
      <c r="H24" s="195"/>
      <c r="I24" s="192"/>
      <c r="J24" s="192"/>
      <c r="K24" s="193"/>
      <c r="L24" s="193"/>
      <c r="M24" s="193"/>
      <c r="N24" s="193"/>
      <c r="O24" s="193"/>
      <c r="P24" s="193"/>
      <c r="Q24" s="193"/>
      <c r="R24" s="193"/>
      <c r="S24" s="193"/>
      <c r="T24" s="193"/>
      <c r="U24" s="193"/>
      <c r="V24" s="194"/>
      <c r="W24" s="195"/>
    </row>
    <row r="25" spans="1:23" ht="96.9" customHeight="1" x14ac:dyDescent="0.3">
      <c r="A25" s="200">
        <v>3.1</v>
      </c>
      <c r="B25" s="207" t="s">
        <v>188</v>
      </c>
      <c r="C25" s="204" t="s">
        <v>197</v>
      </c>
      <c r="D25" s="201" t="s">
        <v>81</v>
      </c>
      <c r="E25" s="204"/>
      <c r="F25" s="838" t="s">
        <v>267</v>
      </c>
      <c r="G25" s="839"/>
      <c r="H25" s="204" t="s">
        <v>44</v>
      </c>
      <c r="I25" s="205">
        <v>0</v>
      </c>
      <c r="J25" s="205"/>
      <c r="K25" s="206">
        <v>0</v>
      </c>
      <c r="L25" s="206"/>
      <c r="M25" s="205">
        <v>0</v>
      </c>
      <c r="N25" s="205"/>
      <c r="O25" s="205">
        <v>0</v>
      </c>
      <c r="P25" s="205"/>
      <c r="Q25" s="205">
        <v>0</v>
      </c>
      <c r="R25" s="206">
        <f>I25*$C$2+K25+((M25*$C$2+O25)*Q25)</f>
        <v>0</v>
      </c>
      <c r="S25" s="206">
        <f>J25*$C$2+L25+((N25*$C$2+P25)*$Q25)</f>
        <v>0</v>
      </c>
      <c r="T25" s="205">
        <f>I25+(M25*5)</f>
        <v>0</v>
      </c>
      <c r="U25" s="205">
        <f>J25+(N25*5)</f>
        <v>0</v>
      </c>
      <c r="V25" s="207" t="s">
        <v>383</v>
      </c>
      <c r="W25" s="207" t="s">
        <v>308</v>
      </c>
    </row>
    <row r="26" spans="1:23" ht="96.9" customHeight="1" x14ac:dyDescent="0.3">
      <c r="A26" s="200">
        <v>3.2</v>
      </c>
      <c r="B26" s="200" t="s">
        <v>2</v>
      </c>
      <c r="C26" s="204"/>
      <c r="D26" s="260" t="s">
        <v>83</v>
      </c>
      <c r="E26" s="204" t="s">
        <v>91</v>
      </c>
      <c r="F26" s="882" t="s">
        <v>194</v>
      </c>
      <c r="G26" s="884"/>
      <c r="H26" s="204" t="s">
        <v>44</v>
      </c>
      <c r="I26" s="205">
        <v>0</v>
      </c>
      <c r="J26" s="205"/>
      <c r="K26" s="206">
        <v>0</v>
      </c>
      <c r="L26" s="206"/>
      <c r="M26" s="205">
        <v>0</v>
      </c>
      <c r="N26" s="205"/>
      <c r="O26" s="205">
        <v>0</v>
      </c>
      <c r="P26" s="205"/>
      <c r="Q26" s="205">
        <v>0</v>
      </c>
      <c r="R26" s="206">
        <f>I26*$C$2+K26+((M26*$C$2+O26)*Q26)</f>
        <v>0</v>
      </c>
      <c r="S26" s="206">
        <f>J26*$C$2+L26+((N26*$C$2+P26)*$Q26)</f>
        <v>0</v>
      </c>
      <c r="T26" s="205">
        <f>I26+(M26*5)</f>
        <v>0</v>
      </c>
      <c r="U26" s="205">
        <f>J26+(N26*5)</f>
        <v>0</v>
      </c>
      <c r="V26" s="207" t="s">
        <v>329</v>
      </c>
      <c r="W26" s="204" t="s">
        <v>295</v>
      </c>
    </row>
    <row r="27" spans="1:23" ht="36.9" customHeight="1" x14ac:dyDescent="0.3">
      <c r="A27" s="190">
        <v>4</v>
      </c>
      <c r="B27" s="191"/>
      <c r="C27" s="191"/>
      <c r="D27" s="191"/>
      <c r="E27" s="195"/>
      <c r="F27" s="285" t="s">
        <v>195</v>
      </c>
      <c r="G27" s="195"/>
      <c r="H27" s="195"/>
      <c r="I27" s="192"/>
      <c r="J27" s="192"/>
      <c r="K27" s="193"/>
      <c r="L27" s="193"/>
      <c r="M27" s="193"/>
      <c r="N27" s="193"/>
      <c r="O27" s="193"/>
      <c r="P27" s="193"/>
      <c r="Q27" s="193"/>
      <c r="R27" s="193"/>
      <c r="S27" s="193"/>
      <c r="T27" s="193"/>
      <c r="U27" s="193"/>
      <c r="V27" s="194"/>
      <c r="W27" s="195"/>
    </row>
    <row r="28" spans="1:23" ht="96.9" customHeight="1" x14ac:dyDescent="0.3">
      <c r="A28" s="200">
        <v>4.0999999999999996</v>
      </c>
      <c r="B28" s="200" t="s">
        <v>2</v>
      </c>
      <c r="C28" s="204"/>
      <c r="D28" s="260" t="s">
        <v>83</v>
      </c>
      <c r="E28" s="204" t="s">
        <v>91</v>
      </c>
      <c r="F28" s="876" t="s">
        <v>239</v>
      </c>
      <c r="G28" s="878"/>
      <c r="H28" s="204" t="s">
        <v>196</v>
      </c>
      <c r="I28" s="205">
        <v>0</v>
      </c>
      <c r="J28" s="205"/>
      <c r="K28" s="206">
        <v>0</v>
      </c>
      <c r="L28" s="206"/>
      <c r="M28" s="205">
        <v>0</v>
      </c>
      <c r="N28" s="205"/>
      <c r="O28" s="205">
        <v>0</v>
      </c>
      <c r="P28" s="205"/>
      <c r="Q28" s="205">
        <v>0</v>
      </c>
      <c r="R28" s="206">
        <f>I28*$C$2+K28+((M28*$C$2+O28)*Q28)</f>
        <v>0</v>
      </c>
      <c r="S28" s="206">
        <f>J28*$C$2+L28+((N28*$C$2+P28)*$Q28)</f>
        <v>0</v>
      </c>
      <c r="T28" s="205">
        <f>I28+(M28*5)</f>
        <v>0</v>
      </c>
      <c r="U28" s="205">
        <f>J28+(N28*5)</f>
        <v>0</v>
      </c>
      <c r="V28" s="207" t="s">
        <v>309</v>
      </c>
      <c r="W28" s="204" t="s">
        <v>295</v>
      </c>
    </row>
    <row r="29" spans="1:23" ht="36.9" customHeight="1" x14ac:dyDescent="0.3">
      <c r="A29" s="190">
        <v>5</v>
      </c>
      <c r="B29" s="191"/>
      <c r="C29" s="191"/>
      <c r="D29" s="191"/>
      <c r="E29" s="195"/>
      <c r="F29" s="285" t="s">
        <v>327</v>
      </c>
      <c r="G29" s="195"/>
      <c r="H29" s="195"/>
      <c r="I29" s="192"/>
      <c r="J29" s="192"/>
      <c r="K29" s="193"/>
      <c r="L29" s="193"/>
      <c r="M29" s="193"/>
      <c r="N29" s="193"/>
      <c r="O29" s="193"/>
      <c r="P29" s="193"/>
      <c r="Q29" s="193"/>
      <c r="R29" s="193"/>
      <c r="S29" s="193"/>
      <c r="T29" s="193"/>
      <c r="U29" s="193"/>
      <c r="V29" s="194"/>
      <c r="W29" s="195"/>
    </row>
    <row r="30" spans="1:23" ht="111.9" customHeight="1" x14ac:dyDescent="0.3">
      <c r="A30" s="200">
        <v>5.0999999999999996</v>
      </c>
      <c r="B30" s="200" t="s">
        <v>171</v>
      </c>
      <c r="C30" s="204" t="s">
        <v>197</v>
      </c>
      <c r="D30" s="201" t="s">
        <v>81</v>
      </c>
      <c r="E30" s="204"/>
      <c r="F30" s="838" t="s">
        <v>198</v>
      </c>
      <c r="G30" s="839"/>
      <c r="H30" s="204" t="s">
        <v>45</v>
      </c>
      <c r="I30" s="205">
        <f>8*C3</f>
        <v>520</v>
      </c>
      <c r="J30" s="205">
        <f>8*C3+3*16</f>
        <v>568</v>
      </c>
      <c r="K30" s="206">
        <v>0</v>
      </c>
      <c r="L30" s="206"/>
      <c r="M30" s="205">
        <v>0</v>
      </c>
      <c r="N30" s="205"/>
      <c r="O30" s="205">
        <v>0</v>
      </c>
      <c r="P30" s="205"/>
      <c r="Q30" s="205">
        <v>0</v>
      </c>
      <c r="R30" s="206">
        <f>I30*$C$2+K30+((M30*$C$2+O30)*Q30)</f>
        <v>52000</v>
      </c>
      <c r="S30" s="206">
        <f>J30*$C$2+L30+((N30*$C$2+P30)*$Q30)</f>
        <v>56800</v>
      </c>
      <c r="T30" s="205">
        <f>I30+(M30*5)</f>
        <v>520</v>
      </c>
      <c r="U30" s="205">
        <f>J30+(N30*5)</f>
        <v>568</v>
      </c>
      <c r="V30" s="207" t="s">
        <v>602</v>
      </c>
      <c r="W30" s="207" t="s">
        <v>310</v>
      </c>
    </row>
    <row r="31" spans="1:23" ht="96.9" customHeight="1" x14ac:dyDescent="0.3">
      <c r="A31" s="200">
        <v>5.2</v>
      </c>
      <c r="B31" s="200" t="s">
        <v>2</v>
      </c>
      <c r="C31" s="207" t="s">
        <v>201</v>
      </c>
      <c r="D31" s="260" t="s">
        <v>83</v>
      </c>
      <c r="E31" s="204" t="s">
        <v>91</v>
      </c>
      <c r="F31" s="882" t="s">
        <v>199</v>
      </c>
      <c r="G31" s="884"/>
      <c r="H31" s="204" t="s">
        <v>200</v>
      </c>
      <c r="I31" s="205">
        <v>0</v>
      </c>
      <c r="J31" s="205"/>
      <c r="K31" s="206">
        <v>0</v>
      </c>
      <c r="L31" s="206"/>
      <c r="M31" s="205">
        <v>0</v>
      </c>
      <c r="N31" s="205"/>
      <c r="O31" s="205">
        <v>0</v>
      </c>
      <c r="P31" s="205"/>
      <c r="Q31" s="205">
        <v>0</v>
      </c>
      <c r="R31" s="206">
        <f>I31*$C$2+K31+((M31*$C$2+O31)*Q31)</f>
        <v>0</v>
      </c>
      <c r="S31" s="206">
        <f>J31*$C$2+L31+((N31*$C$2+P31)*$Q31)</f>
        <v>0</v>
      </c>
      <c r="T31" s="205">
        <f>I31+(M31*5)</f>
        <v>0</v>
      </c>
      <c r="U31" s="205">
        <f>J31+(N31*5)</f>
        <v>0</v>
      </c>
      <c r="V31" s="207" t="s">
        <v>329</v>
      </c>
      <c r="W31" s="204" t="s">
        <v>295</v>
      </c>
    </row>
    <row r="32" spans="1:23" ht="96.9" customHeight="1" x14ac:dyDescent="0.3">
      <c r="A32" s="218"/>
      <c r="B32" s="218"/>
      <c r="C32" s="218"/>
      <c r="D32" s="218"/>
      <c r="E32" s="218"/>
      <c r="F32" s="218"/>
      <c r="G32" s="218"/>
      <c r="H32" s="218"/>
      <c r="I32" s="221"/>
      <c r="J32" s="221"/>
      <c r="K32" s="222"/>
      <c r="L32" s="222"/>
      <c r="M32" s="222"/>
      <c r="N32" s="222"/>
      <c r="O32" s="222"/>
      <c r="P32" s="222"/>
      <c r="Q32" s="223" t="s">
        <v>368</v>
      </c>
      <c r="R32" s="224">
        <f>ROUND((SUM(R18:R31)),3-(INT(LOG((SUM(R18:R31))+1))))</f>
        <v>65200</v>
      </c>
      <c r="S32" s="352">
        <f>ROUND((SUM(S18:S31)),3-(INT(LOG((SUM(S18:S31))+1))))</f>
        <v>82400</v>
      </c>
      <c r="T32" s="353">
        <f>ROUND((SUM(T18:T31)),3-(INT(LOG((SUM(T18:T31))+1))))</f>
        <v>622</v>
      </c>
      <c r="U32" s="353">
        <f>ROUND((SUM(U18:U31)),3-(INT(LOG((SUM(U18:U31))+1))))</f>
        <v>764</v>
      </c>
      <c r="V32" s="225"/>
      <c r="W32" s="218"/>
    </row>
    <row r="33" spans="1:4" x14ac:dyDescent="0.3">
      <c r="A33" s="2"/>
      <c r="B33" s="2"/>
      <c r="D33" s="3"/>
    </row>
  </sheetData>
  <mergeCells count="33">
    <mergeCell ref="R14:U14"/>
    <mergeCell ref="R15:S15"/>
    <mergeCell ref="T15:U15"/>
    <mergeCell ref="A14:A16"/>
    <mergeCell ref="B14:B16"/>
    <mergeCell ref="C14:C16"/>
    <mergeCell ref="D14:D16"/>
    <mergeCell ref="E14:E16"/>
    <mergeCell ref="F14:G16"/>
    <mergeCell ref="M15:N15"/>
    <mergeCell ref="O15:P15"/>
    <mergeCell ref="H14:H16"/>
    <mergeCell ref="M14:P14"/>
    <mergeCell ref="Q14:Q16"/>
    <mergeCell ref="F18:G18"/>
    <mergeCell ref="F17:G17"/>
    <mergeCell ref="I14:L14"/>
    <mergeCell ref="I15:J15"/>
    <mergeCell ref="K15:L15"/>
    <mergeCell ref="A1:C1"/>
    <mergeCell ref="A2:B2"/>
    <mergeCell ref="B5:C5"/>
    <mergeCell ref="D5:E5"/>
    <mergeCell ref="A3:B3"/>
    <mergeCell ref="F28:G28"/>
    <mergeCell ref="F30:G30"/>
    <mergeCell ref="F31:G31"/>
    <mergeCell ref="F19:G19"/>
    <mergeCell ref="F20:G20"/>
    <mergeCell ref="F22:G22"/>
    <mergeCell ref="F23:G23"/>
    <mergeCell ref="F25:G25"/>
    <mergeCell ref="F26:G26"/>
  </mergeCells>
  <phoneticPr fontId="1" type="noConversion"/>
  <pageMargins left="0.7" right="0.7" top="0.75" bottom="0.75" header="0.3" footer="0.3"/>
  <pageSetup scale="26" orientation="landscape"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88"/>
  <sheetViews>
    <sheetView topLeftCell="E19" zoomScale="75" zoomScaleNormal="75" workbookViewId="0">
      <selection activeCell="T40" sqref="T40"/>
    </sheetView>
  </sheetViews>
  <sheetFormatPr defaultColWidth="8.88671875" defaultRowHeight="14.4" x14ac:dyDescent="0.3"/>
  <cols>
    <col min="1" max="1" width="10.44140625" style="1" bestFit="1" customWidth="1"/>
    <col min="2" max="2" width="10.33203125" customWidth="1"/>
    <col min="3" max="3" width="10.44140625" style="1" customWidth="1"/>
    <col min="4" max="4" width="12.33203125" customWidth="1"/>
    <col min="5" max="5" width="7.109375" customWidth="1"/>
    <col min="6" max="6" width="107.33203125" customWidth="1"/>
    <col min="7" max="7" width="15.6640625" customWidth="1"/>
    <col min="8" max="10" width="10.6640625" style="22" customWidth="1"/>
    <col min="11" max="11" width="10.6640625" style="23" customWidth="1"/>
    <col min="12" max="15" width="10.6640625" style="22" customWidth="1"/>
    <col min="16" max="17" width="10.6640625" style="25" customWidth="1"/>
    <col min="18" max="18" width="10.6640625" style="6" customWidth="1"/>
    <col min="19" max="19" width="10.6640625" style="25" customWidth="1"/>
    <col min="20" max="20" width="10.6640625" style="6" customWidth="1"/>
    <col min="21" max="21" width="57.44140625" style="7" customWidth="1"/>
    <col min="22" max="22" width="36.88671875" customWidth="1"/>
  </cols>
  <sheetData>
    <row r="1" spans="1:29" s="27" customFormat="1" ht="30" customHeight="1" x14ac:dyDescent="0.3">
      <c r="A1" s="719" t="s">
        <v>531</v>
      </c>
      <c r="B1" s="720"/>
      <c r="C1" s="721"/>
      <c r="D1" s="47"/>
      <c r="E1" s="47"/>
      <c r="H1" s="25"/>
      <c r="I1" s="47"/>
      <c r="J1" s="47"/>
      <c r="K1" s="25"/>
      <c r="L1" s="25"/>
      <c r="M1" s="47"/>
      <c r="N1" s="47"/>
      <c r="O1" s="47"/>
      <c r="P1" s="25"/>
      <c r="Q1" s="25"/>
      <c r="R1" s="47"/>
      <c r="S1" s="25"/>
      <c r="T1" s="47"/>
      <c r="U1" s="47"/>
      <c r="V1" s="66"/>
      <c r="W1" s="25"/>
      <c r="X1" s="25"/>
      <c r="Y1" s="25"/>
      <c r="Z1" s="25"/>
      <c r="AA1"/>
      <c r="AB1"/>
      <c r="AC1" s="68"/>
    </row>
    <row r="2" spans="1:29" s="27" customFormat="1" ht="30" customHeight="1" x14ac:dyDescent="0.3">
      <c r="A2" s="725" t="s">
        <v>382</v>
      </c>
      <c r="B2" s="726"/>
      <c r="C2" s="315">
        <f>'Cover Sheet'!B8</f>
        <v>100</v>
      </c>
      <c r="D2" s="47"/>
      <c r="E2" s="47"/>
      <c r="H2" s="25"/>
      <c r="I2" s="47"/>
      <c r="J2" s="47"/>
      <c r="K2" s="25"/>
      <c r="L2" s="25"/>
      <c r="M2" s="47"/>
      <c r="N2" s="47"/>
      <c r="O2" s="47"/>
      <c r="P2" s="25"/>
      <c r="Q2" s="25"/>
      <c r="R2" s="47"/>
      <c r="S2" s="25"/>
      <c r="T2" s="47"/>
      <c r="U2" s="47"/>
      <c r="V2" s="66"/>
      <c r="W2" s="25"/>
      <c r="X2" s="25"/>
      <c r="Y2" s="25"/>
      <c r="Z2" s="25"/>
      <c r="AA2"/>
      <c r="AB2"/>
      <c r="AC2" s="68"/>
    </row>
    <row r="3" spans="1:29" s="27" customFormat="1" ht="45" customHeight="1" x14ac:dyDescent="0.3">
      <c r="A3"/>
      <c r="B3"/>
      <c r="C3"/>
      <c r="D3" s="3"/>
      <c r="E3"/>
      <c r="H3" s="25"/>
      <c r="I3" s="47"/>
      <c r="J3" s="47"/>
      <c r="K3" s="25"/>
      <c r="L3" s="25"/>
      <c r="M3" s="47"/>
      <c r="N3" s="47"/>
      <c r="O3" s="47"/>
      <c r="P3" s="25"/>
      <c r="Q3" s="25"/>
      <c r="R3" s="47"/>
      <c r="S3" s="25"/>
      <c r="T3" s="47"/>
      <c r="U3" s="47"/>
      <c r="V3" s="66"/>
      <c r="W3" s="25"/>
      <c r="X3" s="25"/>
      <c r="Y3" s="25"/>
      <c r="Z3" s="25"/>
      <c r="AA3"/>
      <c r="AB3"/>
      <c r="AC3" s="68"/>
    </row>
    <row r="4" spans="1:29" s="27" customFormat="1" ht="30" customHeight="1" x14ac:dyDescent="0.3">
      <c r="A4" s="316"/>
      <c r="B4" s="720" t="s">
        <v>533</v>
      </c>
      <c r="C4" s="720"/>
      <c r="D4" s="720" t="s">
        <v>294</v>
      </c>
      <c r="E4" s="721"/>
      <c r="H4" s="25"/>
      <c r="I4"/>
      <c r="J4"/>
      <c r="K4" s="25"/>
      <c r="L4" s="25"/>
      <c r="M4"/>
      <c r="N4"/>
      <c r="O4"/>
      <c r="P4" s="25"/>
      <c r="Q4" s="25"/>
      <c r="R4"/>
      <c r="S4" s="25"/>
      <c r="T4"/>
      <c r="U4"/>
      <c r="V4" s="66"/>
      <c r="W4" s="25"/>
      <c r="X4" s="25"/>
      <c r="Y4" s="25"/>
      <c r="Z4" s="25"/>
      <c r="AA4"/>
      <c r="AB4"/>
      <c r="AC4" s="68"/>
    </row>
    <row r="5" spans="1:29" s="27" customFormat="1" ht="30" customHeight="1" x14ac:dyDescent="0.3">
      <c r="A5" s="317"/>
      <c r="B5" s="103" t="s">
        <v>340</v>
      </c>
      <c r="C5" s="103" t="s">
        <v>341</v>
      </c>
      <c r="D5" s="103" t="s">
        <v>340</v>
      </c>
      <c r="E5" s="104" t="s">
        <v>341</v>
      </c>
      <c r="H5" s="25"/>
      <c r="I5"/>
      <c r="J5"/>
      <c r="K5" s="25"/>
      <c r="L5" s="25"/>
      <c r="M5"/>
      <c r="N5"/>
      <c r="O5"/>
      <c r="P5" s="25"/>
      <c r="Q5" s="25"/>
      <c r="R5"/>
      <c r="S5" s="25"/>
      <c r="T5"/>
      <c r="U5"/>
      <c r="V5" s="66"/>
      <c r="W5" s="25"/>
      <c r="X5" s="25"/>
      <c r="Y5" s="25"/>
      <c r="Z5" s="25"/>
      <c r="AA5"/>
      <c r="AB5"/>
      <c r="AC5" s="68"/>
    </row>
    <row r="6" spans="1:29" s="27" customFormat="1" ht="30" customHeight="1" x14ac:dyDescent="0.3">
      <c r="A6" s="318" t="s">
        <v>83</v>
      </c>
      <c r="B6" s="319">
        <f>ROUND((Q44/5),3-(INT(LOG((Q44/5))+1)))</f>
        <v>5060</v>
      </c>
      <c r="C6" s="319">
        <f>ROUND((R44/5),3-(INT(LOG((R44/5))+1)))</f>
        <v>10300</v>
      </c>
      <c r="D6" s="232">
        <f>ROUND((S44/5),3-(INT(LOG((S44/5))+1)))</f>
        <v>50.6</v>
      </c>
      <c r="E6" s="232">
        <f>ROUND((T44/5),3-(INT(LOG((T44/5))+1)))</f>
        <v>103</v>
      </c>
      <c r="H6" s="25"/>
      <c r="I6"/>
      <c r="J6"/>
      <c r="K6" s="25"/>
      <c r="L6" s="25"/>
      <c r="M6"/>
      <c r="N6"/>
      <c r="O6"/>
      <c r="P6" s="25"/>
      <c r="Q6" s="25"/>
      <c r="R6"/>
      <c r="S6" s="25"/>
      <c r="T6"/>
      <c r="U6"/>
      <c r="V6" s="66"/>
      <c r="W6" s="25"/>
      <c r="X6" s="25"/>
      <c r="Y6" s="25"/>
      <c r="Z6" s="25"/>
      <c r="AA6"/>
      <c r="AB6"/>
      <c r="AC6" s="68"/>
    </row>
    <row r="7" spans="1:29" s="27" customFormat="1" ht="30" customHeight="1" x14ac:dyDescent="0.3">
      <c r="A7" s="322" t="s">
        <v>534</v>
      </c>
      <c r="B7" s="323">
        <v>0</v>
      </c>
      <c r="C7" s="323">
        <v>0</v>
      </c>
      <c r="D7" s="323">
        <v>0</v>
      </c>
      <c r="E7" s="323">
        <v>0</v>
      </c>
      <c r="H7" s="25"/>
      <c r="I7"/>
      <c r="J7"/>
      <c r="K7" s="25"/>
      <c r="L7" s="25"/>
      <c r="M7"/>
      <c r="N7"/>
      <c r="O7"/>
      <c r="P7" s="25"/>
      <c r="Q7" s="25"/>
      <c r="R7"/>
      <c r="S7" s="25"/>
      <c r="T7"/>
      <c r="U7"/>
      <c r="V7" s="66"/>
      <c r="W7" s="25"/>
      <c r="X7" s="25"/>
      <c r="Y7" s="25"/>
      <c r="Z7" s="25"/>
      <c r="AA7"/>
      <c r="AB7"/>
      <c r="AC7" s="68"/>
    </row>
    <row r="8" spans="1:29" s="27" customFormat="1" ht="30" customHeight="1" x14ac:dyDescent="0.3">
      <c r="A8" s="94" t="s">
        <v>82</v>
      </c>
      <c r="B8" s="95">
        <v>0</v>
      </c>
      <c r="C8" s="95">
        <v>0</v>
      </c>
      <c r="D8" s="96">
        <v>0</v>
      </c>
      <c r="E8" s="97">
        <v>0</v>
      </c>
      <c r="H8" s="25"/>
      <c r="I8"/>
      <c r="J8"/>
      <c r="K8" s="25"/>
      <c r="L8" s="25"/>
      <c r="M8"/>
      <c r="N8"/>
      <c r="O8"/>
      <c r="P8" s="25"/>
      <c r="Q8" s="25"/>
      <c r="R8"/>
      <c r="S8" s="25"/>
      <c r="T8"/>
      <c r="U8"/>
      <c r="V8" s="66"/>
      <c r="W8" s="25"/>
      <c r="X8" s="25"/>
      <c r="Y8" s="25"/>
      <c r="Z8" s="25"/>
      <c r="AA8"/>
      <c r="AB8"/>
      <c r="AC8" s="68"/>
    </row>
    <row r="9" spans="1:29" s="27" customFormat="1" ht="30" customHeight="1" x14ac:dyDescent="0.3">
      <c r="A9" s="324" t="s">
        <v>532</v>
      </c>
      <c r="B9" s="325">
        <f>Q44</f>
        <v>25300</v>
      </c>
      <c r="C9" s="325">
        <f>R44</f>
        <v>51600</v>
      </c>
      <c r="D9" s="326">
        <f>S44</f>
        <v>253</v>
      </c>
      <c r="E9" s="327">
        <f>T44</f>
        <v>516</v>
      </c>
      <c r="F9" s="22"/>
      <c r="H9" s="25"/>
      <c r="I9"/>
      <c r="J9"/>
      <c r="K9" s="25"/>
      <c r="L9" s="25"/>
      <c r="M9"/>
      <c r="N9"/>
      <c r="O9"/>
      <c r="P9" s="25"/>
      <c r="Q9" s="25"/>
      <c r="R9"/>
      <c r="S9" s="25"/>
      <c r="T9"/>
      <c r="U9"/>
      <c r="V9" s="66"/>
      <c r="W9" s="25"/>
      <c r="X9" s="25"/>
      <c r="Y9" s="25"/>
      <c r="Z9" s="25"/>
      <c r="AA9"/>
      <c r="AB9"/>
      <c r="AC9" s="68"/>
    </row>
    <row r="10" spans="1:29" s="27" customFormat="1" ht="30" customHeight="1" x14ac:dyDescent="0.3">
      <c r="A10" s="1"/>
      <c r="B10"/>
      <c r="C10" s="1"/>
      <c r="D10"/>
      <c r="E10"/>
      <c r="F10" s="22"/>
      <c r="H10" s="25"/>
      <c r="I10"/>
      <c r="J10"/>
      <c r="K10" s="25"/>
      <c r="L10" s="25"/>
      <c r="M10"/>
      <c r="N10"/>
      <c r="O10"/>
      <c r="P10" s="25"/>
      <c r="Q10" s="25"/>
      <c r="R10"/>
      <c r="S10" s="25"/>
      <c r="T10"/>
      <c r="U10"/>
      <c r="V10" s="66"/>
      <c r="W10" s="25"/>
      <c r="X10" s="25"/>
      <c r="Y10" s="25"/>
      <c r="Z10" s="25"/>
      <c r="AA10"/>
      <c r="AB10"/>
      <c r="AC10" s="68"/>
    </row>
    <row r="11" spans="1:29" x14ac:dyDescent="0.3">
      <c r="G11" s="43"/>
    </row>
    <row r="12" spans="1:29" x14ac:dyDescent="0.3">
      <c r="G12" s="43"/>
    </row>
    <row r="13" spans="1:29" ht="34.65" customHeight="1" x14ac:dyDescent="0.3">
      <c r="A13" s="817" t="s">
        <v>0</v>
      </c>
      <c r="B13" s="954" t="s">
        <v>49</v>
      </c>
      <c r="C13" s="860" t="s">
        <v>52</v>
      </c>
      <c r="D13" s="860" t="s">
        <v>136</v>
      </c>
      <c r="E13" s="861" t="s">
        <v>560</v>
      </c>
      <c r="F13" s="862"/>
      <c r="G13" s="858" t="s">
        <v>1</v>
      </c>
      <c r="H13" s="851" t="s">
        <v>551</v>
      </c>
      <c r="I13" s="851"/>
      <c r="J13" s="851"/>
      <c r="K13" s="851"/>
      <c r="L13" s="852" t="s">
        <v>552</v>
      </c>
      <c r="M13" s="853"/>
      <c r="N13" s="853"/>
      <c r="O13" s="853"/>
      <c r="P13" s="952" t="s">
        <v>299</v>
      </c>
      <c r="Q13" s="852" t="s">
        <v>561</v>
      </c>
      <c r="R13" s="853"/>
      <c r="S13" s="853"/>
      <c r="T13" s="854"/>
      <c r="U13" s="956" t="s">
        <v>78</v>
      </c>
      <c r="V13" s="956" t="s">
        <v>296</v>
      </c>
    </row>
    <row r="14" spans="1:29" ht="72" customHeight="1" x14ac:dyDescent="0.3">
      <c r="A14" s="817"/>
      <c r="B14" s="954"/>
      <c r="C14" s="773"/>
      <c r="D14" s="773"/>
      <c r="E14" s="863"/>
      <c r="F14" s="864"/>
      <c r="G14" s="776"/>
      <c r="H14" s="851" t="s">
        <v>294</v>
      </c>
      <c r="I14" s="851"/>
      <c r="J14" s="781" t="s">
        <v>562</v>
      </c>
      <c r="K14" s="781"/>
      <c r="L14" s="850" t="s">
        <v>357</v>
      </c>
      <c r="M14" s="850"/>
      <c r="N14" s="850" t="s">
        <v>504</v>
      </c>
      <c r="O14" s="850"/>
      <c r="P14" s="930"/>
      <c r="Q14" s="943" t="s">
        <v>362</v>
      </c>
      <c r="R14" s="944"/>
      <c r="S14" s="945" t="s">
        <v>526</v>
      </c>
      <c r="T14" s="946"/>
      <c r="U14" s="957"/>
      <c r="V14" s="957"/>
    </row>
    <row r="15" spans="1:29" ht="22.65" customHeight="1" x14ac:dyDescent="0.3">
      <c r="A15" s="953"/>
      <c r="B15" s="955"/>
      <c r="C15" s="774"/>
      <c r="D15" s="774"/>
      <c r="E15" s="865"/>
      <c r="F15" s="866"/>
      <c r="G15" s="777"/>
      <c r="H15" s="300" t="s">
        <v>390</v>
      </c>
      <c r="I15" s="300" t="s">
        <v>341</v>
      </c>
      <c r="J15" s="300" t="s">
        <v>340</v>
      </c>
      <c r="K15" s="301" t="s">
        <v>341</v>
      </c>
      <c r="L15" s="302" t="s">
        <v>340</v>
      </c>
      <c r="M15" s="302" t="s">
        <v>341</v>
      </c>
      <c r="N15" s="302" t="s">
        <v>340</v>
      </c>
      <c r="O15" s="302" t="s">
        <v>341</v>
      </c>
      <c r="P15" s="931"/>
      <c r="Q15" s="299" t="s">
        <v>340</v>
      </c>
      <c r="R15" s="301" t="s">
        <v>341</v>
      </c>
      <c r="S15" s="299" t="s">
        <v>340</v>
      </c>
      <c r="T15" s="301" t="s">
        <v>341</v>
      </c>
      <c r="U15" s="958"/>
      <c r="V15" s="958"/>
    </row>
    <row r="16" spans="1:29" ht="28.8" x14ac:dyDescent="0.3">
      <c r="A16" s="354">
        <v>4</v>
      </c>
      <c r="B16" s="354"/>
      <c r="C16" s="354"/>
      <c r="D16" s="354"/>
      <c r="E16" s="355" t="s">
        <v>258</v>
      </c>
      <c r="F16" s="355"/>
      <c r="G16" s="348">
        <v>4.3</v>
      </c>
      <c r="H16" s="356"/>
      <c r="I16" s="356"/>
      <c r="J16" s="356"/>
      <c r="K16" s="356"/>
      <c r="L16" s="356"/>
      <c r="M16" s="356"/>
      <c r="N16" s="356"/>
      <c r="O16" s="356"/>
      <c r="P16" s="356"/>
      <c r="Q16" s="356"/>
      <c r="R16" s="356"/>
      <c r="S16" s="356"/>
      <c r="T16" s="356"/>
      <c r="U16" s="357" t="s">
        <v>259</v>
      </c>
    </row>
    <row r="17" spans="1:22" ht="36" customHeight="1" x14ac:dyDescent="0.3">
      <c r="A17" s="358">
        <v>4.0999999999999996</v>
      </c>
      <c r="B17" s="358"/>
      <c r="C17" s="311"/>
      <c r="D17" s="359" t="s">
        <v>255</v>
      </c>
      <c r="E17" s="961" t="s">
        <v>260</v>
      </c>
      <c r="F17" s="961"/>
      <c r="G17" s="311">
        <v>4.4000000000000004</v>
      </c>
      <c r="H17" s="337"/>
      <c r="I17" s="337"/>
      <c r="J17" s="337"/>
      <c r="K17" s="311"/>
      <c r="L17" s="311"/>
      <c r="M17" s="311"/>
      <c r="N17" s="311"/>
      <c r="O17" s="311"/>
      <c r="P17" s="311">
        <v>5</v>
      </c>
      <c r="Q17" s="342">
        <f>H17*$C$2+J17+((L17*$C$2+N17)*$P17)</f>
        <v>0</v>
      </c>
      <c r="R17" s="342">
        <f>I17*$C$2+K17+((M17*$C$2+O17)*$P17)</f>
        <v>0</v>
      </c>
      <c r="S17" s="343">
        <f>H17+(L17*P17)</f>
        <v>0</v>
      </c>
      <c r="T17" s="343">
        <f>I17+(M17*P17)</f>
        <v>0</v>
      </c>
      <c r="U17" s="360"/>
      <c r="V17" s="62" t="s">
        <v>523</v>
      </c>
    </row>
    <row r="18" spans="1:22" ht="36" customHeight="1" x14ac:dyDescent="0.3">
      <c r="A18" s="358"/>
      <c r="B18" s="358"/>
      <c r="C18" s="311"/>
      <c r="D18" s="361"/>
      <c r="E18" s="918" t="s">
        <v>505</v>
      </c>
      <c r="F18" s="920"/>
      <c r="G18" s="311"/>
      <c r="H18" s="337"/>
      <c r="I18" s="337"/>
      <c r="J18" s="337"/>
      <c r="K18" s="311"/>
      <c r="L18" s="394">
        <v>4</v>
      </c>
      <c r="M18" s="394">
        <v>8</v>
      </c>
      <c r="N18" s="311"/>
      <c r="O18" s="311"/>
      <c r="P18" s="311">
        <v>5</v>
      </c>
      <c r="Q18" s="342">
        <f>H18*$C$2+J18+((L18*$C$2+N18)*$P18)</f>
        <v>2000</v>
      </c>
      <c r="R18" s="342">
        <f>I18*$C$2+K18+((M18*$C$2+O18)*$P18)</f>
        <v>4000</v>
      </c>
      <c r="S18" s="343">
        <f>H18+(L18*P18)</f>
        <v>20</v>
      </c>
      <c r="T18" s="343">
        <f>I18+(M18*P18)</f>
        <v>40</v>
      </c>
      <c r="U18" s="360" t="s">
        <v>506</v>
      </c>
      <c r="V18" s="62" t="s">
        <v>523</v>
      </c>
    </row>
    <row r="19" spans="1:22" ht="36" customHeight="1" x14ac:dyDescent="0.3">
      <c r="A19" s="362"/>
      <c r="B19" s="363"/>
      <c r="C19" s="364"/>
      <c r="D19" s="364"/>
      <c r="E19" s="962" t="s">
        <v>311</v>
      </c>
      <c r="F19" s="962"/>
      <c r="G19" s="364"/>
      <c r="H19" s="364"/>
      <c r="I19" s="364"/>
      <c r="J19" s="364"/>
      <c r="K19" s="364"/>
      <c r="L19" s="364"/>
      <c r="M19" s="364"/>
      <c r="N19" s="364"/>
      <c r="O19" s="364"/>
      <c r="P19" s="364">
        <v>5</v>
      </c>
      <c r="Q19" s="364"/>
      <c r="R19" s="364"/>
      <c r="S19" s="365"/>
      <c r="T19" s="365"/>
      <c r="U19" s="364"/>
      <c r="V19" s="62" t="s">
        <v>523</v>
      </c>
    </row>
    <row r="20" spans="1:22" ht="40.65" customHeight="1" x14ac:dyDescent="0.3">
      <c r="A20" s="366"/>
      <c r="B20" s="367"/>
      <c r="C20" s="311" t="s">
        <v>326</v>
      </c>
      <c r="D20" s="311"/>
      <c r="E20" s="311"/>
      <c r="F20" s="359" t="s">
        <v>216</v>
      </c>
      <c r="G20" s="368"/>
      <c r="H20" s="311"/>
      <c r="I20" s="311"/>
      <c r="J20" s="311"/>
      <c r="K20" s="311"/>
      <c r="L20" s="311">
        <v>24</v>
      </c>
      <c r="M20" s="311">
        <v>30</v>
      </c>
      <c r="N20" s="311"/>
      <c r="O20" s="311"/>
      <c r="P20" s="311">
        <v>5</v>
      </c>
      <c r="Q20" s="342">
        <f>H20*$C$2+J20+((L20*$C$2+N20)*$P20)</f>
        <v>12000</v>
      </c>
      <c r="R20" s="342">
        <f>I20*$C$2+K20+((M20*$C$2+O20)*$P20)</f>
        <v>15000</v>
      </c>
      <c r="S20" s="343">
        <f>H20+(L20*P20)</f>
        <v>120</v>
      </c>
      <c r="T20" s="343">
        <f>I20+(M20*P20)</f>
        <v>150</v>
      </c>
      <c r="U20" s="374" t="s">
        <v>618</v>
      </c>
      <c r="V20" s="62" t="s">
        <v>523</v>
      </c>
    </row>
    <row r="21" spans="1:22" ht="36" customHeight="1" x14ac:dyDescent="0.3">
      <c r="A21" s="366"/>
      <c r="B21" s="367"/>
      <c r="C21" s="311" t="s">
        <v>326</v>
      </c>
      <c r="D21" s="311"/>
      <c r="E21" s="311"/>
      <c r="F21" s="346" t="s">
        <v>312</v>
      </c>
      <c r="G21" s="311"/>
      <c r="H21" s="311"/>
      <c r="I21" s="311"/>
      <c r="J21" s="311"/>
      <c r="K21" s="311"/>
      <c r="L21" s="311">
        <v>1</v>
      </c>
      <c r="M21" s="311">
        <v>2</v>
      </c>
      <c r="N21" s="311"/>
      <c r="O21" s="311"/>
      <c r="P21" s="311">
        <v>5</v>
      </c>
      <c r="Q21" s="342">
        <f>H21*$C$2+J21+((L21*$C$2+N21)*$P21)</f>
        <v>500</v>
      </c>
      <c r="R21" s="342">
        <f>I21*$C$2+K21+((M21*$C$2+O21)*$P21)</f>
        <v>1000</v>
      </c>
      <c r="S21" s="343">
        <f>H21+(L21*P21)</f>
        <v>5</v>
      </c>
      <c r="T21" s="343">
        <f>I21+(M21*P21)</f>
        <v>10</v>
      </c>
      <c r="U21" s="360"/>
      <c r="V21" s="62" t="s">
        <v>523</v>
      </c>
    </row>
    <row r="22" spans="1:22" ht="36" customHeight="1" x14ac:dyDescent="0.3">
      <c r="A22" s="362"/>
      <c r="B22" s="363"/>
      <c r="C22" s="364"/>
      <c r="D22" s="364"/>
      <c r="E22" s="959" t="s">
        <v>313</v>
      </c>
      <c r="F22" s="960"/>
      <c r="G22" s="364"/>
      <c r="H22" s="364"/>
      <c r="I22" s="364"/>
      <c r="J22" s="364"/>
      <c r="K22" s="364"/>
      <c r="L22" s="364"/>
      <c r="M22" s="364"/>
      <c r="N22" s="364"/>
      <c r="O22" s="364"/>
      <c r="P22" s="364"/>
      <c r="Q22" s="364"/>
      <c r="R22" s="364"/>
      <c r="S22" s="365"/>
      <c r="T22" s="365"/>
      <c r="U22" s="364"/>
    </row>
    <row r="23" spans="1:22" s="7" customFormat="1" ht="36" customHeight="1" x14ac:dyDescent="0.3">
      <c r="A23" s="369"/>
      <c r="B23" s="370"/>
      <c r="C23" s="345" t="s">
        <v>326</v>
      </c>
      <c r="D23" s="345"/>
      <c r="E23" s="361">
        <v>1.2000000000000002</v>
      </c>
      <c r="F23" s="371" t="s">
        <v>314</v>
      </c>
      <c r="G23" s="311"/>
      <c r="H23" s="372"/>
      <c r="I23" s="372"/>
      <c r="J23" s="373">
        <v>0</v>
      </c>
      <c r="K23" s="373">
        <v>0</v>
      </c>
      <c r="L23" s="372">
        <v>0</v>
      </c>
      <c r="M23" s="372">
        <v>4</v>
      </c>
      <c r="N23" s="372"/>
      <c r="O23" s="372"/>
      <c r="P23" s="372">
        <v>5</v>
      </c>
      <c r="Q23" s="342">
        <f>H23*$C$2+J23+((L23*$C$2+N23)*$P23)</f>
        <v>0</v>
      </c>
      <c r="R23" s="342">
        <f t="shared" ref="R23:R31" si="0">I23*$C$2+K23+((M23*$C$2+O23)*$P23)</f>
        <v>2000</v>
      </c>
      <c r="S23" s="343">
        <f>H23+(L23*P23)</f>
        <v>0</v>
      </c>
      <c r="T23" s="343">
        <f>I23+(M23*P23)</f>
        <v>20</v>
      </c>
      <c r="U23" s="374" t="s">
        <v>354</v>
      </c>
      <c r="V23" s="62" t="s">
        <v>523</v>
      </c>
    </row>
    <row r="24" spans="1:22" s="7" customFormat="1" ht="36" customHeight="1" x14ac:dyDescent="0.3">
      <c r="A24" s="369"/>
      <c r="B24" s="370"/>
      <c r="C24" s="345" t="s">
        <v>326</v>
      </c>
      <c r="D24" s="345"/>
      <c r="E24" s="361">
        <v>2.2000000000000002</v>
      </c>
      <c r="F24" s="371" t="s">
        <v>315</v>
      </c>
      <c r="G24" s="311"/>
      <c r="H24" s="372"/>
      <c r="I24" s="372"/>
      <c r="J24" s="373">
        <v>0</v>
      </c>
      <c r="K24" s="373">
        <v>0</v>
      </c>
      <c r="L24" s="372">
        <v>0</v>
      </c>
      <c r="M24" s="372">
        <v>4</v>
      </c>
      <c r="N24" s="372"/>
      <c r="O24" s="372"/>
      <c r="P24" s="372">
        <v>5</v>
      </c>
      <c r="Q24" s="342">
        <f t="shared" ref="Q24:R38" si="1">H24*$C$2+J24+((L24*$C$2+N24)*$P24)</f>
        <v>0</v>
      </c>
      <c r="R24" s="342">
        <f t="shared" si="0"/>
        <v>2000</v>
      </c>
      <c r="S24" s="343">
        <f t="shared" ref="S24:S31" si="2">H24+(L24*P24)</f>
        <v>0</v>
      </c>
      <c r="T24" s="343">
        <f t="shared" ref="T24:T31" si="3">I24+(M24*P24)</f>
        <v>20</v>
      </c>
      <c r="U24" s="374" t="s">
        <v>355</v>
      </c>
      <c r="V24" s="62" t="s">
        <v>523</v>
      </c>
    </row>
    <row r="25" spans="1:22" s="7" customFormat="1" ht="36" customHeight="1" x14ac:dyDescent="0.3">
      <c r="A25" s="369"/>
      <c r="B25" s="370"/>
      <c r="C25" s="345" t="s">
        <v>97</v>
      </c>
      <c r="D25" s="345"/>
      <c r="E25" s="361">
        <v>3.6000000000000005</v>
      </c>
      <c r="F25" s="371" t="s">
        <v>316</v>
      </c>
      <c r="G25" s="311"/>
      <c r="H25" s="372"/>
      <c r="I25" s="372"/>
      <c r="J25" s="373">
        <v>0</v>
      </c>
      <c r="K25" s="373">
        <v>0</v>
      </c>
      <c r="L25" s="372">
        <v>1</v>
      </c>
      <c r="M25" s="372">
        <v>2</v>
      </c>
      <c r="N25" s="372"/>
      <c r="O25" s="372"/>
      <c r="P25" s="372">
        <v>5</v>
      </c>
      <c r="Q25" s="342">
        <f t="shared" si="1"/>
        <v>500</v>
      </c>
      <c r="R25" s="342">
        <f t="shared" si="0"/>
        <v>1000</v>
      </c>
      <c r="S25" s="343">
        <f t="shared" si="2"/>
        <v>5</v>
      </c>
      <c r="T25" s="343">
        <f t="shared" si="3"/>
        <v>10</v>
      </c>
      <c r="U25" s="345" t="s">
        <v>353</v>
      </c>
      <c r="V25" s="62" t="s">
        <v>523</v>
      </c>
    </row>
    <row r="26" spans="1:22" ht="36" customHeight="1" x14ac:dyDescent="0.3">
      <c r="A26" s="375"/>
      <c r="B26" s="367"/>
      <c r="C26" s="311" t="s">
        <v>326</v>
      </c>
      <c r="D26" s="311"/>
      <c r="E26" s="376" t="s">
        <v>149</v>
      </c>
      <c r="F26" s="371" t="s">
        <v>238</v>
      </c>
      <c r="G26" s="311"/>
      <c r="H26" s="372"/>
      <c r="I26" s="372"/>
      <c r="J26" s="373">
        <v>0</v>
      </c>
      <c r="K26" s="373">
        <v>0</v>
      </c>
      <c r="L26" s="372">
        <v>1</v>
      </c>
      <c r="M26" s="372">
        <v>2</v>
      </c>
      <c r="N26" s="372"/>
      <c r="O26" s="372"/>
      <c r="P26" s="372">
        <v>5</v>
      </c>
      <c r="Q26" s="342">
        <f t="shared" si="1"/>
        <v>500</v>
      </c>
      <c r="R26" s="342">
        <f t="shared" si="0"/>
        <v>1000</v>
      </c>
      <c r="S26" s="343">
        <f t="shared" si="2"/>
        <v>5</v>
      </c>
      <c r="T26" s="343">
        <f t="shared" si="3"/>
        <v>10</v>
      </c>
      <c r="U26" s="374" t="s">
        <v>507</v>
      </c>
      <c r="V26" s="62" t="s">
        <v>523</v>
      </c>
    </row>
    <row r="27" spans="1:22" ht="36" customHeight="1" x14ac:dyDescent="0.3">
      <c r="A27" s="358"/>
      <c r="B27" s="358"/>
      <c r="C27" s="311"/>
      <c r="D27" s="361"/>
      <c r="E27" s="361"/>
      <c r="F27" s="371" t="s">
        <v>256</v>
      </c>
      <c r="G27" s="311" t="s">
        <v>257</v>
      </c>
      <c r="H27" s="337"/>
      <c r="I27" s="311"/>
      <c r="J27" s="311"/>
      <c r="K27" s="311"/>
      <c r="L27" s="377">
        <v>0</v>
      </c>
      <c r="M27" s="378">
        <v>8</v>
      </c>
      <c r="N27" s="311"/>
      <c r="O27" s="311"/>
      <c r="P27" s="377">
        <v>5</v>
      </c>
      <c r="Q27" s="342">
        <f t="shared" si="1"/>
        <v>0</v>
      </c>
      <c r="R27" s="342">
        <f t="shared" si="0"/>
        <v>4000</v>
      </c>
      <c r="S27" s="343">
        <f t="shared" si="2"/>
        <v>0</v>
      </c>
      <c r="T27" s="343">
        <f t="shared" si="3"/>
        <v>40</v>
      </c>
      <c r="U27" s="345" t="s">
        <v>613</v>
      </c>
      <c r="V27" s="62" t="s">
        <v>523</v>
      </c>
    </row>
    <row r="28" spans="1:22" ht="36" customHeight="1" x14ac:dyDescent="0.3">
      <c r="A28" s="366"/>
      <c r="B28" s="367"/>
      <c r="C28" s="311" t="s">
        <v>326</v>
      </c>
      <c r="D28" s="311"/>
      <c r="E28" s="311" t="s">
        <v>157</v>
      </c>
      <c r="F28" s="379" t="s">
        <v>117</v>
      </c>
      <c r="G28" s="311"/>
      <c r="H28" s="343"/>
      <c r="I28" s="343"/>
      <c r="J28" s="373">
        <v>0</v>
      </c>
      <c r="K28" s="373">
        <v>0</v>
      </c>
      <c r="L28" s="343">
        <v>1</v>
      </c>
      <c r="M28" s="343">
        <v>2</v>
      </c>
      <c r="N28" s="372"/>
      <c r="O28" s="372"/>
      <c r="P28" s="372">
        <v>5</v>
      </c>
      <c r="Q28" s="342">
        <f t="shared" si="1"/>
        <v>500</v>
      </c>
      <c r="R28" s="342">
        <f t="shared" si="0"/>
        <v>1000</v>
      </c>
      <c r="S28" s="343">
        <f t="shared" si="2"/>
        <v>5</v>
      </c>
      <c r="T28" s="343">
        <f t="shared" si="3"/>
        <v>10</v>
      </c>
      <c r="U28" s="374" t="s">
        <v>508</v>
      </c>
      <c r="V28" s="62" t="s">
        <v>523</v>
      </c>
    </row>
    <row r="29" spans="1:22" ht="36" customHeight="1" x14ac:dyDescent="0.3">
      <c r="A29" s="366"/>
      <c r="B29" s="367"/>
      <c r="C29" s="311" t="s">
        <v>326</v>
      </c>
      <c r="D29" s="311"/>
      <c r="E29" s="311" t="s">
        <v>161</v>
      </c>
      <c r="F29" s="379" t="s">
        <v>135</v>
      </c>
      <c r="G29" s="311"/>
      <c r="H29" s="372"/>
      <c r="I29" s="372"/>
      <c r="J29" s="373">
        <v>0</v>
      </c>
      <c r="K29" s="373">
        <v>0</v>
      </c>
      <c r="L29" s="372">
        <v>2</v>
      </c>
      <c r="M29" s="372">
        <v>4</v>
      </c>
      <c r="N29" s="372"/>
      <c r="O29" s="372"/>
      <c r="P29" s="372">
        <v>5</v>
      </c>
      <c r="Q29" s="342">
        <f t="shared" si="1"/>
        <v>1000</v>
      </c>
      <c r="R29" s="342">
        <f t="shared" si="0"/>
        <v>2000</v>
      </c>
      <c r="S29" s="343">
        <f t="shared" si="2"/>
        <v>10</v>
      </c>
      <c r="T29" s="343">
        <f t="shared" si="3"/>
        <v>20</v>
      </c>
      <c r="U29" s="374" t="s">
        <v>605</v>
      </c>
      <c r="V29" s="62" t="s">
        <v>523</v>
      </c>
    </row>
    <row r="30" spans="1:22" ht="36" customHeight="1" x14ac:dyDescent="0.3">
      <c r="A30" s="366"/>
      <c r="B30" s="367"/>
      <c r="C30" s="311" t="s">
        <v>326</v>
      </c>
      <c r="D30" s="311"/>
      <c r="E30" s="311" t="s">
        <v>166</v>
      </c>
      <c r="F30" s="359" t="s">
        <v>134</v>
      </c>
      <c r="G30" s="311"/>
      <c r="H30" s="372"/>
      <c r="I30" s="372"/>
      <c r="J30" s="373">
        <v>0</v>
      </c>
      <c r="K30" s="373">
        <v>0</v>
      </c>
      <c r="L30" s="372">
        <v>0</v>
      </c>
      <c r="M30" s="372">
        <v>4</v>
      </c>
      <c r="N30" s="372"/>
      <c r="O30" s="372"/>
      <c r="P30" s="372">
        <v>5</v>
      </c>
      <c r="Q30" s="342">
        <f t="shared" si="1"/>
        <v>0</v>
      </c>
      <c r="R30" s="342">
        <f t="shared" si="0"/>
        <v>2000</v>
      </c>
      <c r="S30" s="343">
        <f t="shared" si="2"/>
        <v>0</v>
      </c>
      <c r="T30" s="343">
        <f t="shared" si="3"/>
        <v>20</v>
      </c>
      <c r="U30" s="374" t="s">
        <v>509</v>
      </c>
      <c r="V30" s="62" t="s">
        <v>523</v>
      </c>
    </row>
    <row r="31" spans="1:22" ht="36" customHeight="1" x14ac:dyDescent="0.3">
      <c r="A31" s="366"/>
      <c r="B31" s="367"/>
      <c r="C31" s="311" t="s">
        <v>326</v>
      </c>
      <c r="D31" s="311"/>
      <c r="E31" s="311" t="s">
        <v>169</v>
      </c>
      <c r="F31" s="379" t="s">
        <v>144</v>
      </c>
      <c r="G31" s="311"/>
      <c r="H31" s="343"/>
      <c r="I31" s="343"/>
      <c r="J31" s="373">
        <v>0</v>
      </c>
      <c r="K31" s="373">
        <v>0</v>
      </c>
      <c r="L31" s="343">
        <v>1</v>
      </c>
      <c r="M31" s="343">
        <v>2</v>
      </c>
      <c r="N31" s="372"/>
      <c r="O31" s="372"/>
      <c r="P31" s="372">
        <v>5</v>
      </c>
      <c r="Q31" s="342">
        <f t="shared" si="1"/>
        <v>500</v>
      </c>
      <c r="R31" s="342">
        <f t="shared" si="0"/>
        <v>1000</v>
      </c>
      <c r="S31" s="343">
        <f t="shared" si="2"/>
        <v>5</v>
      </c>
      <c r="T31" s="343">
        <f t="shared" si="3"/>
        <v>10</v>
      </c>
      <c r="U31" s="345" t="s">
        <v>510</v>
      </c>
      <c r="V31" s="62" t="s">
        <v>523</v>
      </c>
    </row>
    <row r="32" spans="1:22" ht="36" customHeight="1" x14ac:dyDescent="0.3">
      <c r="A32" s="362"/>
      <c r="B32" s="363"/>
      <c r="C32" s="364"/>
      <c r="D32" s="364"/>
      <c r="E32" s="959" t="s">
        <v>317</v>
      </c>
      <c r="F32" s="960"/>
      <c r="G32" s="364"/>
      <c r="H32" s="365"/>
      <c r="I32" s="365"/>
      <c r="J32" s="365"/>
      <c r="K32" s="380"/>
      <c r="L32" s="365"/>
      <c r="M32" s="365"/>
      <c r="N32" s="365"/>
      <c r="O32" s="365"/>
      <c r="P32" s="381"/>
      <c r="Q32" s="381"/>
      <c r="R32" s="380"/>
      <c r="S32" s="365"/>
      <c r="T32" s="365"/>
      <c r="U32" s="382"/>
    </row>
    <row r="33" spans="1:22" ht="36" customHeight="1" x14ac:dyDescent="0.3">
      <c r="A33" s="366"/>
      <c r="B33" s="367"/>
      <c r="C33" s="311" t="s">
        <v>326</v>
      </c>
      <c r="D33" s="311"/>
      <c r="E33" s="311">
        <v>1.5</v>
      </c>
      <c r="F33" s="346" t="s">
        <v>187</v>
      </c>
      <c r="G33" s="311"/>
      <c r="H33" s="343"/>
      <c r="I33" s="343"/>
      <c r="J33" s="373">
        <v>0</v>
      </c>
      <c r="K33" s="373">
        <v>0</v>
      </c>
      <c r="L33" s="343">
        <v>1</v>
      </c>
      <c r="M33" s="343">
        <v>2</v>
      </c>
      <c r="N33" s="343"/>
      <c r="O33" s="343"/>
      <c r="P33" s="343">
        <v>5</v>
      </c>
      <c r="Q33" s="342">
        <f t="shared" si="1"/>
        <v>500</v>
      </c>
      <c r="R33" s="342">
        <f t="shared" si="1"/>
        <v>1000</v>
      </c>
      <c r="S33" s="343">
        <f>H33+(L33*P33)</f>
        <v>5</v>
      </c>
      <c r="T33" s="343">
        <f>I33+(M33*P33)</f>
        <v>10</v>
      </c>
      <c r="U33" s="374" t="s">
        <v>604</v>
      </c>
      <c r="V33" s="62" t="s">
        <v>523</v>
      </c>
    </row>
    <row r="34" spans="1:22" ht="36" customHeight="1" x14ac:dyDescent="0.3">
      <c r="A34" s="362"/>
      <c r="B34" s="363"/>
      <c r="C34" s="364"/>
      <c r="D34" s="364"/>
      <c r="E34" s="959" t="s">
        <v>318</v>
      </c>
      <c r="F34" s="960"/>
      <c r="G34" s="364"/>
      <c r="H34" s="365"/>
      <c r="I34" s="365"/>
      <c r="J34" s="365"/>
      <c r="K34" s="380"/>
      <c r="L34" s="365"/>
      <c r="M34" s="365"/>
      <c r="N34" s="365"/>
      <c r="O34" s="365"/>
      <c r="P34" s="365"/>
      <c r="Q34" s="365"/>
      <c r="R34" s="380"/>
      <c r="S34" s="365"/>
      <c r="T34" s="365"/>
      <c r="U34" s="382"/>
    </row>
    <row r="35" spans="1:22" ht="36" customHeight="1" x14ac:dyDescent="0.3">
      <c r="A35" s="366"/>
      <c r="B35" s="367"/>
      <c r="C35" s="311" t="s">
        <v>326</v>
      </c>
      <c r="D35" s="311"/>
      <c r="E35" s="337">
        <v>1.3</v>
      </c>
      <c r="F35" s="379" t="s">
        <v>319</v>
      </c>
      <c r="G35" s="311"/>
      <c r="H35" s="343"/>
      <c r="I35" s="343"/>
      <c r="J35" s="373">
        <v>0</v>
      </c>
      <c r="K35" s="373">
        <v>0</v>
      </c>
      <c r="L35" s="343">
        <v>1</v>
      </c>
      <c r="M35" s="343">
        <v>2</v>
      </c>
      <c r="N35" s="343"/>
      <c r="O35" s="343"/>
      <c r="P35" s="343">
        <v>5</v>
      </c>
      <c r="Q35" s="342">
        <f t="shared" si="1"/>
        <v>500</v>
      </c>
      <c r="R35" s="342">
        <f t="shared" si="1"/>
        <v>1000</v>
      </c>
      <c r="S35" s="343">
        <f>H35+(L35*P35)</f>
        <v>5</v>
      </c>
      <c r="T35" s="343">
        <f>I35+(M35*P35)</f>
        <v>10</v>
      </c>
      <c r="U35" s="345" t="s">
        <v>511</v>
      </c>
      <c r="V35" s="62" t="s">
        <v>523</v>
      </c>
    </row>
    <row r="36" spans="1:22" ht="36" customHeight="1" x14ac:dyDescent="0.3">
      <c r="A36" s="366"/>
      <c r="B36" s="367"/>
      <c r="C36" s="311" t="s">
        <v>97</v>
      </c>
      <c r="D36" s="311"/>
      <c r="E36" s="337">
        <v>2.2000000000000002</v>
      </c>
      <c r="F36" s="359" t="s">
        <v>320</v>
      </c>
      <c r="G36" s="311"/>
      <c r="H36" s="343"/>
      <c r="I36" s="343"/>
      <c r="J36" s="373">
        <v>0</v>
      </c>
      <c r="K36" s="373">
        <v>0</v>
      </c>
      <c r="L36" s="343">
        <v>1</v>
      </c>
      <c r="M36" s="343">
        <v>2</v>
      </c>
      <c r="N36" s="372"/>
      <c r="O36" s="372"/>
      <c r="P36" s="372">
        <v>4</v>
      </c>
      <c r="Q36" s="342">
        <f t="shared" si="1"/>
        <v>400</v>
      </c>
      <c r="R36" s="342">
        <f t="shared" si="1"/>
        <v>800</v>
      </c>
      <c r="S36" s="343">
        <f>H36+(L36*P36)</f>
        <v>4</v>
      </c>
      <c r="T36" s="343">
        <f>I36+(M36*P36)</f>
        <v>8</v>
      </c>
      <c r="U36" s="345" t="s">
        <v>512</v>
      </c>
      <c r="V36" s="62" t="s">
        <v>523</v>
      </c>
    </row>
    <row r="37" spans="1:22" ht="36" customHeight="1" x14ac:dyDescent="0.3">
      <c r="A37" s="366"/>
      <c r="B37" s="367"/>
      <c r="C37" s="311" t="s">
        <v>126</v>
      </c>
      <c r="D37" s="311"/>
      <c r="E37" s="337">
        <v>3.2</v>
      </c>
      <c r="F37" s="359" t="s">
        <v>321</v>
      </c>
      <c r="G37" s="311"/>
      <c r="H37" s="343"/>
      <c r="I37" s="343"/>
      <c r="J37" s="373">
        <v>0</v>
      </c>
      <c r="K37" s="373">
        <v>0</v>
      </c>
      <c r="L37" s="343">
        <v>1</v>
      </c>
      <c r="M37" s="343">
        <v>2</v>
      </c>
      <c r="N37" s="372"/>
      <c r="O37" s="372"/>
      <c r="P37" s="372">
        <v>3</v>
      </c>
      <c r="Q37" s="342">
        <f t="shared" si="1"/>
        <v>300</v>
      </c>
      <c r="R37" s="342">
        <f t="shared" si="1"/>
        <v>600</v>
      </c>
      <c r="S37" s="343">
        <f>H37+(L37*P37)</f>
        <v>3</v>
      </c>
      <c r="T37" s="343">
        <f>I37+(M37*P37)</f>
        <v>6</v>
      </c>
      <c r="U37" s="345" t="s">
        <v>512</v>
      </c>
      <c r="V37" s="62" t="s">
        <v>523</v>
      </c>
    </row>
    <row r="38" spans="1:22" ht="36" customHeight="1" x14ac:dyDescent="0.3">
      <c r="A38" s="366"/>
      <c r="B38" s="367"/>
      <c r="C38" s="345" t="s">
        <v>201</v>
      </c>
      <c r="D38" s="311"/>
      <c r="E38" s="337">
        <v>5.2</v>
      </c>
      <c r="F38" s="379" t="s">
        <v>322</v>
      </c>
      <c r="G38" s="311"/>
      <c r="H38" s="343"/>
      <c r="I38" s="343"/>
      <c r="J38" s="373">
        <v>0</v>
      </c>
      <c r="K38" s="373">
        <v>0</v>
      </c>
      <c r="L38" s="343">
        <v>1</v>
      </c>
      <c r="M38" s="343">
        <v>2</v>
      </c>
      <c r="N38" s="372"/>
      <c r="O38" s="372"/>
      <c r="P38" s="372">
        <v>1</v>
      </c>
      <c r="Q38" s="342">
        <f t="shared" si="1"/>
        <v>100</v>
      </c>
      <c r="R38" s="342">
        <f t="shared" si="1"/>
        <v>200</v>
      </c>
      <c r="S38" s="343">
        <f>H38+(L38*P38)</f>
        <v>1</v>
      </c>
      <c r="T38" s="343">
        <f>I38+(M38*P38)</f>
        <v>2</v>
      </c>
      <c r="U38" s="345" t="s">
        <v>512</v>
      </c>
      <c r="V38" s="62" t="s">
        <v>523</v>
      </c>
    </row>
    <row r="39" spans="1:22" ht="36" customHeight="1" x14ac:dyDescent="0.3">
      <c r="A39" s="362"/>
      <c r="B39" s="363"/>
      <c r="C39" s="364"/>
      <c r="D39" s="364"/>
      <c r="E39" s="959" t="s">
        <v>323</v>
      </c>
      <c r="F39" s="960"/>
      <c r="G39" s="364"/>
      <c r="H39" s="365"/>
      <c r="I39" s="365"/>
      <c r="J39" s="365"/>
      <c r="K39" s="380"/>
      <c r="L39" s="365"/>
      <c r="M39" s="365"/>
      <c r="N39" s="365"/>
      <c r="O39" s="365"/>
      <c r="P39" s="381"/>
      <c r="Q39" s="381"/>
      <c r="R39" s="380"/>
      <c r="S39" s="365"/>
      <c r="T39" s="365"/>
      <c r="U39" s="382"/>
    </row>
    <row r="40" spans="1:22" ht="39.9" customHeight="1" x14ac:dyDescent="0.3">
      <c r="A40" s="366"/>
      <c r="B40" s="367"/>
      <c r="C40" s="311" t="s">
        <v>326</v>
      </c>
      <c r="D40" s="311"/>
      <c r="E40" s="311"/>
      <c r="F40" s="359" t="s">
        <v>203</v>
      </c>
      <c r="G40" s="311"/>
      <c r="H40" s="343"/>
      <c r="I40" s="343"/>
      <c r="J40" s="373">
        <v>0</v>
      </c>
      <c r="K40" s="373">
        <v>0</v>
      </c>
      <c r="L40" s="372">
        <v>4</v>
      </c>
      <c r="M40" s="372">
        <v>8</v>
      </c>
      <c r="N40" s="372"/>
      <c r="O40" s="372"/>
      <c r="P40" s="372">
        <v>5</v>
      </c>
      <c r="Q40" s="342">
        <f t="shared" ref="Q40:R43" si="4">H40*$C$2+J40+((L40*$C$2+N40)*$P40)</f>
        <v>2000</v>
      </c>
      <c r="R40" s="342">
        <f t="shared" si="4"/>
        <v>4000</v>
      </c>
      <c r="S40" s="383">
        <f>L40*P40</f>
        <v>20</v>
      </c>
      <c r="T40" s="384">
        <f>M40*P40</f>
        <v>40</v>
      </c>
      <c r="U40" s="345" t="s">
        <v>614</v>
      </c>
      <c r="V40" s="62" t="s">
        <v>523</v>
      </c>
    </row>
    <row r="41" spans="1:22" ht="36" customHeight="1" x14ac:dyDescent="0.3">
      <c r="A41" s="366"/>
      <c r="B41" s="367"/>
      <c r="C41" s="311" t="s">
        <v>326</v>
      </c>
      <c r="D41" s="311"/>
      <c r="E41" s="311"/>
      <c r="F41" s="379" t="s">
        <v>324</v>
      </c>
      <c r="G41" s="311"/>
      <c r="H41" s="343"/>
      <c r="I41" s="343"/>
      <c r="J41" s="373">
        <v>0</v>
      </c>
      <c r="K41" s="373">
        <v>0</v>
      </c>
      <c r="L41" s="372">
        <v>4</v>
      </c>
      <c r="M41" s="372">
        <v>8</v>
      </c>
      <c r="N41" s="372"/>
      <c r="O41" s="372"/>
      <c r="P41" s="372">
        <v>5</v>
      </c>
      <c r="Q41" s="342">
        <f t="shared" si="4"/>
        <v>2000</v>
      </c>
      <c r="R41" s="342">
        <f t="shared" si="4"/>
        <v>4000</v>
      </c>
      <c r="S41" s="383">
        <f>L41*P41</f>
        <v>20</v>
      </c>
      <c r="T41" s="384">
        <f>M41*P41</f>
        <v>40</v>
      </c>
      <c r="U41" s="345" t="s">
        <v>615</v>
      </c>
      <c r="V41" s="62" t="s">
        <v>523</v>
      </c>
    </row>
    <row r="42" spans="1:22" ht="36" customHeight="1" x14ac:dyDescent="0.3">
      <c r="A42" s="366"/>
      <c r="B42" s="367"/>
      <c r="C42" s="311" t="s">
        <v>326</v>
      </c>
      <c r="D42" s="311"/>
      <c r="E42" s="311"/>
      <c r="F42" s="379" t="s">
        <v>205</v>
      </c>
      <c r="G42" s="311"/>
      <c r="H42" s="343"/>
      <c r="I42" s="343"/>
      <c r="J42" s="373">
        <v>0</v>
      </c>
      <c r="K42" s="373">
        <v>0</v>
      </c>
      <c r="L42" s="372">
        <v>2</v>
      </c>
      <c r="M42" s="372">
        <v>4</v>
      </c>
      <c r="N42" s="372"/>
      <c r="O42" s="372"/>
      <c r="P42" s="372">
        <v>5</v>
      </c>
      <c r="Q42" s="342">
        <f t="shared" si="4"/>
        <v>1000</v>
      </c>
      <c r="R42" s="342">
        <f t="shared" si="4"/>
        <v>2000</v>
      </c>
      <c r="S42" s="383">
        <f>L42*P42</f>
        <v>10</v>
      </c>
      <c r="T42" s="384">
        <f>M42*P42</f>
        <v>20</v>
      </c>
      <c r="U42" s="345" t="s">
        <v>616</v>
      </c>
      <c r="V42" s="62" t="s">
        <v>523</v>
      </c>
    </row>
    <row r="43" spans="1:22" ht="54.6" customHeight="1" x14ac:dyDescent="0.3">
      <c r="A43" s="367"/>
      <c r="B43" s="367"/>
      <c r="C43" s="311" t="s">
        <v>97</v>
      </c>
      <c r="D43" s="311"/>
      <c r="E43" s="311"/>
      <c r="F43" s="379" t="s">
        <v>325</v>
      </c>
      <c r="G43" s="311"/>
      <c r="H43" s="343"/>
      <c r="I43" s="343"/>
      <c r="J43" s="373">
        <v>0</v>
      </c>
      <c r="K43" s="373">
        <v>0</v>
      </c>
      <c r="L43" s="372">
        <v>2</v>
      </c>
      <c r="M43" s="372">
        <v>4</v>
      </c>
      <c r="N43" s="372"/>
      <c r="O43" s="372"/>
      <c r="P43" s="372">
        <v>5</v>
      </c>
      <c r="Q43" s="342">
        <f t="shared" si="4"/>
        <v>1000</v>
      </c>
      <c r="R43" s="342">
        <f t="shared" si="4"/>
        <v>2000</v>
      </c>
      <c r="S43" s="383">
        <f>L43*P43</f>
        <v>10</v>
      </c>
      <c r="T43" s="384">
        <f>M43*P43</f>
        <v>20</v>
      </c>
      <c r="U43" s="345" t="s">
        <v>606</v>
      </c>
      <c r="V43" s="62" t="s">
        <v>523</v>
      </c>
    </row>
    <row r="44" spans="1:22" ht="36" customHeight="1" x14ac:dyDescent="0.3">
      <c r="A44"/>
      <c r="B44" s="385"/>
      <c r="C44" s="348"/>
      <c r="D44" s="348"/>
      <c r="E44" s="348"/>
      <c r="F44" s="348"/>
      <c r="G44" s="348"/>
      <c r="H44" s="350"/>
      <c r="I44" s="350"/>
      <c r="J44" s="350"/>
      <c r="K44" s="349"/>
      <c r="L44" s="350"/>
      <c r="M44" s="350"/>
      <c r="N44" s="350"/>
      <c r="O44" s="350"/>
      <c r="P44" s="351" t="s">
        <v>368</v>
      </c>
      <c r="Q44" s="352">
        <f>ROUND((SUM(Q17:Q43)),3-(INT(LOG((SUM(Q17:Q43)))+1)))</f>
        <v>25300</v>
      </c>
      <c r="R44" s="352">
        <f>ROUND((SUM(R17:R43)),3-(INT(LOG((SUM(R17:R43)))+1)))</f>
        <v>51600</v>
      </c>
      <c r="S44" s="353">
        <f>ROUND((SUM(S17:S43)),3-(INT(LOG((SUM(S17:S43)))+1)))</f>
        <v>253</v>
      </c>
      <c r="T44" s="353">
        <f>ROUND((SUM(T17:T43)),3-(INT(LOG((SUM(T17:T43)))+1)))</f>
        <v>516</v>
      </c>
      <c r="U44" s="311"/>
    </row>
    <row r="45" spans="1:22" x14ac:dyDescent="0.3">
      <c r="A45"/>
      <c r="G45" s="2"/>
      <c r="U45"/>
    </row>
    <row r="46" spans="1:22" x14ac:dyDescent="0.3">
      <c r="A46"/>
      <c r="U46"/>
    </row>
    <row r="47" spans="1:22" x14ac:dyDescent="0.3">
      <c r="A47"/>
      <c r="U47"/>
    </row>
    <row r="48" spans="1:22" x14ac:dyDescent="0.3">
      <c r="A48"/>
      <c r="U48"/>
    </row>
    <row r="49" spans="1:21" ht="13.65" customHeight="1" x14ac:dyDescent="0.3">
      <c r="A49"/>
      <c r="U49"/>
    </row>
    <row r="50" spans="1:21" ht="55.65" customHeight="1" x14ac:dyDescent="0.3">
      <c r="A50"/>
      <c r="U50"/>
    </row>
    <row r="51" spans="1:21" x14ac:dyDescent="0.3">
      <c r="A51"/>
      <c r="U51"/>
    </row>
    <row r="52" spans="1:21" ht="126" customHeight="1" x14ac:dyDescent="0.3">
      <c r="A52"/>
      <c r="U52"/>
    </row>
    <row r="53" spans="1:21" x14ac:dyDescent="0.3">
      <c r="A53"/>
      <c r="U53"/>
    </row>
    <row r="54" spans="1:21" x14ac:dyDescent="0.3">
      <c r="A54"/>
      <c r="C54"/>
      <c r="H54"/>
      <c r="I54"/>
      <c r="J54"/>
      <c r="K54"/>
      <c r="L54"/>
      <c r="M54"/>
      <c r="N54"/>
      <c r="O54"/>
      <c r="P54"/>
      <c r="Q54"/>
      <c r="R54"/>
      <c r="S54"/>
      <c r="T54"/>
      <c r="U54"/>
    </row>
    <row r="55" spans="1:21" x14ac:dyDescent="0.3">
      <c r="A55"/>
      <c r="C55"/>
      <c r="H55"/>
      <c r="I55"/>
      <c r="J55"/>
      <c r="K55"/>
      <c r="L55"/>
      <c r="M55"/>
      <c r="N55"/>
      <c r="O55"/>
      <c r="P55"/>
      <c r="Q55"/>
      <c r="R55"/>
      <c r="S55"/>
      <c r="T55"/>
      <c r="U55"/>
    </row>
    <row r="56" spans="1:21" ht="48.9" customHeight="1" x14ac:dyDescent="0.3">
      <c r="A56"/>
      <c r="C56"/>
      <c r="H56"/>
      <c r="I56"/>
      <c r="J56"/>
      <c r="K56"/>
      <c r="L56"/>
      <c r="M56"/>
      <c r="N56"/>
      <c r="O56"/>
      <c r="P56"/>
      <c r="Q56"/>
      <c r="R56"/>
      <c r="S56"/>
      <c r="T56"/>
      <c r="U56"/>
    </row>
    <row r="57" spans="1:21" ht="55.65" customHeight="1" x14ac:dyDescent="0.3">
      <c r="A57"/>
      <c r="C57"/>
      <c r="H57"/>
      <c r="I57"/>
      <c r="J57"/>
      <c r="K57"/>
      <c r="L57"/>
      <c r="M57"/>
      <c r="N57"/>
      <c r="O57"/>
      <c r="P57"/>
      <c r="Q57"/>
      <c r="R57"/>
      <c r="S57"/>
      <c r="T57"/>
      <c r="U57"/>
    </row>
    <row r="58" spans="1:21" x14ac:dyDescent="0.3">
      <c r="A58"/>
      <c r="C58"/>
      <c r="H58"/>
      <c r="I58"/>
      <c r="J58"/>
      <c r="K58"/>
      <c r="L58"/>
      <c r="M58"/>
      <c r="N58"/>
      <c r="O58"/>
      <c r="P58"/>
      <c r="Q58"/>
      <c r="R58"/>
      <c r="S58"/>
      <c r="T58"/>
      <c r="U58"/>
    </row>
    <row r="59" spans="1:21" x14ac:dyDescent="0.3">
      <c r="A59"/>
      <c r="C59"/>
      <c r="H59"/>
      <c r="I59"/>
      <c r="J59"/>
      <c r="K59"/>
      <c r="L59"/>
      <c r="M59"/>
      <c r="N59"/>
      <c r="O59"/>
      <c r="P59"/>
      <c r="Q59"/>
      <c r="R59"/>
      <c r="S59"/>
      <c r="T59"/>
      <c r="U59"/>
    </row>
    <row r="60" spans="1:21" ht="42" customHeight="1" x14ac:dyDescent="0.3">
      <c r="A60"/>
      <c r="C60"/>
      <c r="H60"/>
      <c r="I60"/>
      <c r="J60"/>
      <c r="K60"/>
      <c r="L60"/>
      <c r="M60"/>
      <c r="N60"/>
      <c r="O60"/>
      <c r="P60"/>
      <c r="Q60"/>
      <c r="R60"/>
      <c r="S60"/>
      <c r="T60"/>
      <c r="U60"/>
    </row>
    <row r="61" spans="1:21" ht="42" customHeight="1" x14ac:dyDescent="0.3">
      <c r="A61"/>
      <c r="C61"/>
      <c r="H61"/>
      <c r="I61"/>
      <c r="J61"/>
      <c r="K61"/>
      <c r="L61"/>
      <c r="M61"/>
      <c r="N61"/>
      <c r="O61"/>
      <c r="P61"/>
      <c r="Q61"/>
      <c r="R61"/>
      <c r="S61"/>
      <c r="T61"/>
      <c r="U61"/>
    </row>
    <row r="62" spans="1:21" x14ac:dyDescent="0.3">
      <c r="A62"/>
      <c r="C62"/>
      <c r="H62"/>
      <c r="I62"/>
      <c r="J62"/>
      <c r="K62"/>
      <c r="L62"/>
      <c r="M62"/>
      <c r="N62"/>
      <c r="O62"/>
      <c r="P62"/>
      <c r="Q62"/>
      <c r="R62"/>
      <c r="S62"/>
      <c r="T62"/>
      <c r="U62"/>
    </row>
    <row r="63" spans="1:21" ht="13.65" customHeight="1" x14ac:dyDescent="0.3">
      <c r="A63"/>
      <c r="C63"/>
      <c r="H63"/>
      <c r="I63"/>
      <c r="J63"/>
      <c r="K63"/>
      <c r="L63"/>
      <c r="M63"/>
      <c r="N63"/>
      <c r="O63"/>
      <c r="P63"/>
      <c r="Q63"/>
      <c r="R63"/>
      <c r="S63"/>
      <c r="T63"/>
      <c r="U63"/>
    </row>
    <row r="64" spans="1:21" x14ac:dyDescent="0.3">
      <c r="A64"/>
      <c r="C64"/>
      <c r="H64"/>
      <c r="I64"/>
      <c r="J64"/>
      <c r="K64"/>
      <c r="L64"/>
      <c r="M64"/>
      <c r="N64"/>
      <c r="O64"/>
      <c r="P64"/>
      <c r="Q64"/>
      <c r="R64"/>
      <c r="S64"/>
      <c r="T64"/>
      <c r="U64"/>
    </row>
    <row r="65" spans="1:21" ht="13.65" customHeight="1" x14ac:dyDescent="0.3">
      <c r="A65"/>
      <c r="C65"/>
      <c r="H65"/>
      <c r="I65"/>
      <c r="J65"/>
      <c r="K65"/>
      <c r="L65"/>
      <c r="M65"/>
      <c r="N65"/>
      <c r="O65"/>
      <c r="P65"/>
      <c r="Q65"/>
      <c r="R65"/>
      <c r="S65"/>
      <c r="T65"/>
      <c r="U65"/>
    </row>
    <row r="66" spans="1:21" ht="42" customHeight="1" x14ac:dyDescent="0.3">
      <c r="A66"/>
      <c r="C66"/>
      <c r="H66"/>
      <c r="I66"/>
      <c r="J66"/>
      <c r="K66"/>
      <c r="L66"/>
      <c r="M66"/>
      <c r="N66"/>
      <c r="O66"/>
      <c r="P66"/>
      <c r="Q66"/>
      <c r="R66"/>
      <c r="S66"/>
      <c r="T66"/>
      <c r="U66"/>
    </row>
    <row r="67" spans="1:21" x14ac:dyDescent="0.3">
      <c r="A67"/>
      <c r="C67"/>
      <c r="H67"/>
      <c r="I67"/>
      <c r="J67"/>
      <c r="K67"/>
      <c r="L67"/>
      <c r="M67"/>
      <c r="N67"/>
      <c r="O67"/>
      <c r="P67"/>
      <c r="Q67"/>
      <c r="R67"/>
      <c r="S67"/>
      <c r="T67"/>
      <c r="U67"/>
    </row>
    <row r="68" spans="1:21" ht="69.900000000000006" customHeight="1" x14ac:dyDescent="0.3">
      <c r="A68"/>
      <c r="C68"/>
      <c r="H68"/>
      <c r="I68"/>
      <c r="J68"/>
      <c r="K68"/>
      <c r="L68"/>
      <c r="M68"/>
      <c r="N68"/>
      <c r="O68"/>
      <c r="P68"/>
      <c r="Q68"/>
      <c r="R68"/>
      <c r="S68"/>
      <c r="T68"/>
      <c r="U68"/>
    </row>
    <row r="69" spans="1:21" x14ac:dyDescent="0.3">
      <c r="A69"/>
      <c r="C69"/>
      <c r="H69"/>
      <c r="I69"/>
      <c r="J69"/>
      <c r="K69"/>
      <c r="L69"/>
      <c r="M69"/>
      <c r="N69"/>
      <c r="O69"/>
      <c r="P69"/>
      <c r="Q69"/>
      <c r="R69"/>
      <c r="S69"/>
      <c r="T69"/>
      <c r="U69"/>
    </row>
    <row r="70" spans="1:21" x14ac:dyDescent="0.3">
      <c r="A70"/>
      <c r="C70"/>
      <c r="H70"/>
      <c r="I70"/>
      <c r="J70"/>
      <c r="K70"/>
      <c r="L70"/>
      <c r="M70"/>
      <c r="N70"/>
      <c r="O70"/>
      <c r="P70"/>
      <c r="Q70"/>
      <c r="R70"/>
      <c r="S70"/>
      <c r="T70"/>
      <c r="U70"/>
    </row>
    <row r="71" spans="1:21" x14ac:dyDescent="0.3">
      <c r="A71"/>
      <c r="C71"/>
      <c r="H71"/>
      <c r="I71"/>
      <c r="J71"/>
      <c r="K71"/>
      <c r="L71"/>
      <c r="M71"/>
      <c r="N71"/>
      <c r="O71"/>
      <c r="P71"/>
      <c r="Q71"/>
      <c r="R71"/>
      <c r="S71"/>
      <c r="T71"/>
      <c r="U71"/>
    </row>
    <row r="72" spans="1:21" x14ac:dyDescent="0.3">
      <c r="A72"/>
      <c r="C72"/>
      <c r="H72"/>
      <c r="I72"/>
      <c r="J72"/>
      <c r="K72"/>
      <c r="L72"/>
      <c r="M72"/>
      <c r="N72"/>
      <c r="O72"/>
      <c r="P72"/>
      <c r="Q72"/>
      <c r="R72"/>
      <c r="S72"/>
      <c r="T72"/>
      <c r="U72"/>
    </row>
    <row r="73" spans="1:21" x14ac:dyDescent="0.3">
      <c r="A73"/>
      <c r="C73"/>
      <c r="H73"/>
      <c r="I73"/>
      <c r="J73"/>
      <c r="K73"/>
      <c r="L73"/>
      <c r="M73"/>
      <c r="N73"/>
      <c r="O73"/>
      <c r="P73"/>
      <c r="Q73"/>
      <c r="R73"/>
      <c r="S73"/>
      <c r="T73"/>
      <c r="U73"/>
    </row>
    <row r="74" spans="1:21" x14ac:dyDescent="0.3">
      <c r="A74"/>
      <c r="C74"/>
      <c r="H74"/>
      <c r="I74"/>
      <c r="J74"/>
      <c r="K74"/>
      <c r="L74"/>
      <c r="M74"/>
      <c r="N74"/>
      <c r="O74"/>
      <c r="P74"/>
      <c r="Q74"/>
      <c r="R74"/>
      <c r="S74"/>
      <c r="T74"/>
      <c r="U74"/>
    </row>
    <row r="75" spans="1:21" x14ac:dyDescent="0.3">
      <c r="A75"/>
      <c r="C75"/>
      <c r="H75"/>
      <c r="I75"/>
      <c r="J75"/>
      <c r="K75"/>
      <c r="L75"/>
      <c r="M75"/>
      <c r="N75"/>
      <c r="O75"/>
      <c r="P75"/>
      <c r="Q75"/>
      <c r="R75"/>
      <c r="S75"/>
      <c r="T75"/>
      <c r="U75"/>
    </row>
    <row r="76" spans="1:21" x14ac:dyDescent="0.3">
      <c r="A76"/>
      <c r="C76"/>
      <c r="H76"/>
      <c r="I76"/>
      <c r="J76"/>
      <c r="K76"/>
      <c r="L76"/>
      <c r="M76"/>
      <c r="N76"/>
      <c r="O76"/>
      <c r="P76"/>
      <c r="Q76"/>
      <c r="R76"/>
      <c r="S76"/>
      <c r="T76"/>
      <c r="U76"/>
    </row>
    <row r="77" spans="1:21" x14ac:dyDescent="0.3">
      <c r="A77"/>
      <c r="C77"/>
      <c r="H77"/>
      <c r="I77"/>
      <c r="J77"/>
      <c r="K77"/>
      <c r="L77"/>
      <c r="M77"/>
      <c r="N77"/>
      <c r="O77"/>
      <c r="P77"/>
      <c r="Q77"/>
      <c r="R77"/>
      <c r="S77"/>
      <c r="T77"/>
      <c r="U77"/>
    </row>
    <row r="78" spans="1:21" x14ac:dyDescent="0.3">
      <c r="A78"/>
      <c r="C78"/>
      <c r="H78"/>
      <c r="I78"/>
      <c r="J78"/>
      <c r="K78"/>
      <c r="L78"/>
      <c r="M78"/>
      <c r="N78"/>
      <c r="O78"/>
      <c r="P78"/>
      <c r="Q78"/>
      <c r="R78"/>
      <c r="S78"/>
      <c r="T78"/>
      <c r="U78"/>
    </row>
    <row r="79" spans="1:21" x14ac:dyDescent="0.3">
      <c r="A79"/>
      <c r="C79"/>
      <c r="H79"/>
      <c r="I79"/>
      <c r="J79"/>
      <c r="K79"/>
      <c r="L79"/>
      <c r="M79"/>
      <c r="N79"/>
      <c r="O79"/>
      <c r="P79"/>
      <c r="Q79"/>
      <c r="R79"/>
      <c r="S79"/>
      <c r="T79"/>
      <c r="U79"/>
    </row>
    <row r="80" spans="1:21" x14ac:dyDescent="0.3">
      <c r="A80"/>
      <c r="C80"/>
      <c r="H80"/>
      <c r="I80"/>
      <c r="J80"/>
      <c r="K80"/>
      <c r="L80"/>
      <c r="M80"/>
      <c r="N80"/>
      <c r="O80"/>
      <c r="P80"/>
      <c r="Q80"/>
      <c r="R80"/>
      <c r="S80"/>
      <c r="T80"/>
      <c r="U80"/>
    </row>
    <row r="81" spans="1:21" x14ac:dyDescent="0.3">
      <c r="A81"/>
      <c r="C81"/>
      <c r="H81"/>
      <c r="I81"/>
      <c r="J81"/>
      <c r="K81"/>
      <c r="L81"/>
      <c r="M81"/>
      <c r="N81"/>
      <c r="O81"/>
      <c r="P81"/>
      <c r="Q81"/>
      <c r="R81"/>
      <c r="S81"/>
      <c r="T81"/>
      <c r="U81"/>
    </row>
    <row r="83" spans="1:21" x14ac:dyDescent="0.3">
      <c r="A83"/>
      <c r="C83"/>
      <c r="H83"/>
      <c r="I83"/>
      <c r="J83"/>
      <c r="K83"/>
      <c r="L83"/>
      <c r="M83"/>
      <c r="N83"/>
      <c r="O83"/>
      <c r="P83"/>
      <c r="Q83"/>
      <c r="R83"/>
      <c r="S83"/>
      <c r="T83"/>
      <c r="U83"/>
    </row>
    <row r="85" spans="1:21" x14ac:dyDescent="0.3">
      <c r="A85"/>
      <c r="C85"/>
      <c r="H85"/>
      <c r="I85"/>
      <c r="J85"/>
      <c r="K85"/>
      <c r="L85"/>
      <c r="M85"/>
      <c r="N85"/>
      <c r="O85"/>
      <c r="P85"/>
      <c r="Q85"/>
      <c r="R85"/>
      <c r="S85"/>
      <c r="T85"/>
      <c r="U85"/>
    </row>
    <row r="87" spans="1:21" x14ac:dyDescent="0.3">
      <c r="A87"/>
      <c r="C87"/>
      <c r="H87"/>
      <c r="I87"/>
      <c r="J87"/>
      <c r="K87"/>
      <c r="L87"/>
      <c r="M87"/>
      <c r="N87"/>
      <c r="O87"/>
      <c r="P87"/>
      <c r="Q87"/>
      <c r="R87"/>
      <c r="S87"/>
      <c r="T87"/>
      <c r="U87"/>
    </row>
    <row r="88" spans="1:21" x14ac:dyDescent="0.3">
      <c r="A88"/>
      <c r="C88"/>
      <c r="H88"/>
      <c r="I88"/>
      <c r="J88"/>
      <c r="K88"/>
      <c r="L88"/>
      <c r="M88"/>
      <c r="N88"/>
      <c r="O88"/>
      <c r="P88"/>
      <c r="Q88"/>
      <c r="R88"/>
      <c r="S88"/>
      <c r="T88"/>
      <c r="U88"/>
    </row>
  </sheetData>
  <mergeCells count="29">
    <mergeCell ref="E39:F39"/>
    <mergeCell ref="E17:F17"/>
    <mergeCell ref="E18:F18"/>
    <mergeCell ref="E19:F19"/>
    <mergeCell ref="E22:F22"/>
    <mergeCell ref="E32:F32"/>
    <mergeCell ref="E34:F34"/>
    <mergeCell ref="U13:U15"/>
    <mergeCell ref="V13:V15"/>
    <mergeCell ref="H14:I14"/>
    <mergeCell ref="J14:K14"/>
    <mergeCell ref="L14:M14"/>
    <mergeCell ref="N14:O14"/>
    <mergeCell ref="Q14:R14"/>
    <mergeCell ref="S14:T14"/>
    <mergeCell ref="G13:G15"/>
    <mergeCell ref="H13:K13"/>
    <mergeCell ref="L13:O13"/>
    <mergeCell ref="P13:P15"/>
    <mergeCell ref="Q13:T13"/>
    <mergeCell ref="A1:C1"/>
    <mergeCell ref="A2:B2"/>
    <mergeCell ref="B4:C4"/>
    <mergeCell ref="D4:E4"/>
    <mergeCell ref="A13:A15"/>
    <mergeCell ref="B13:B15"/>
    <mergeCell ref="C13:C15"/>
    <mergeCell ref="D13:D15"/>
    <mergeCell ref="E13:F15"/>
  </mergeCells>
  <pageMargins left="0.75" right="0.75" top="1" bottom="1" header="0.5" footer="0.5"/>
  <pageSetup scale="29" orientation="landscape"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36"/>
  <sheetViews>
    <sheetView zoomScale="70" zoomScaleNormal="70" workbookViewId="0">
      <pane xSplit="4" ySplit="2" topLeftCell="E3" activePane="bottomRight" state="frozen"/>
      <selection pane="topRight" activeCell="E1" sqref="E1"/>
      <selection pane="bottomLeft" activeCell="A2" sqref="A2"/>
      <selection pane="bottomRight" activeCell="A3" sqref="A3"/>
    </sheetView>
  </sheetViews>
  <sheetFormatPr defaultColWidth="8.88671875" defaultRowHeight="14.4" x14ac:dyDescent="0.3"/>
  <cols>
    <col min="1" max="1" width="10.44140625" style="1" bestFit="1" customWidth="1"/>
    <col min="2" max="2" width="10.33203125" customWidth="1"/>
    <col min="3" max="3" width="10.44140625" style="1" customWidth="1"/>
    <col min="4" max="4" width="12.33203125" customWidth="1"/>
    <col min="5" max="5" width="11.33203125" customWidth="1"/>
    <col min="6" max="6" width="107.33203125" customWidth="1"/>
    <col min="7" max="7" width="24.33203125" customWidth="1"/>
    <col min="8" max="9" width="10.6640625" style="6" customWidth="1"/>
    <col min="10" max="11" width="13.44140625" style="24" customWidth="1"/>
    <col min="12" max="13" width="10.6640625" style="6" customWidth="1"/>
    <col min="14" max="16" width="13.44140625" style="24" customWidth="1"/>
    <col min="17" max="18" width="10.6640625" style="6" customWidth="1"/>
    <col min="19" max="19" width="13.44140625" style="24" customWidth="1"/>
    <col min="20" max="20" width="11.33203125" style="24" customWidth="1"/>
    <col min="21" max="21" width="28.88671875" customWidth="1"/>
  </cols>
  <sheetData>
    <row r="1" spans="1:27" s="27" customFormat="1" x14ac:dyDescent="0.3">
      <c r="A1" s="719" t="s">
        <v>531</v>
      </c>
      <c r="B1" s="720"/>
      <c r="C1" s="721"/>
      <c r="D1" s="47"/>
      <c r="E1" s="47"/>
      <c r="H1" s="25"/>
      <c r="I1" s="25"/>
      <c r="J1" s="47"/>
      <c r="K1" s="47"/>
      <c r="L1" s="25"/>
      <c r="M1" s="25"/>
      <c r="N1" s="47"/>
      <c r="O1" s="47"/>
      <c r="P1" s="47"/>
      <c r="Q1" s="25"/>
      <c r="R1" s="25"/>
      <c r="S1" s="47"/>
      <c r="T1" s="47"/>
      <c r="U1" s="66"/>
      <c r="V1" s="25"/>
      <c r="W1" s="25"/>
      <c r="X1" s="25"/>
      <c r="Y1"/>
      <c r="Z1"/>
      <c r="AA1" s="68"/>
    </row>
    <row r="2" spans="1:27" s="27" customFormat="1" x14ac:dyDescent="0.3">
      <c r="A2" s="725" t="s">
        <v>382</v>
      </c>
      <c r="B2" s="726"/>
      <c r="C2" s="315">
        <f>'MS4 Stats'!B10</f>
        <v>100</v>
      </c>
      <c r="D2" s="47"/>
      <c r="E2" s="47"/>
      <c r="H2" s="25"/>
      <c r="I2" s="25"/>
      <c r="J2" s="47"/>
      <c r="K2" s="47"/>
      <c r="L2" s="25"/>
      <c r="M2" s="25"/>
      <c r="N2" s="47"/>
      <c r="O2" s="47"/>
      <c r="P2" s="47"/>
      <c r="Q2" s="25"/>
      <c r="R2" s="25"/>
      <c r="S2" s="47"/>
      <c r="T2" s="47"/>
      <c r="U2" s="66"/>
      <c r="V2" s="25"/>
      <c r="W2" s="25"/>
      <c r="X2" s="25"/>
      <c r="Y2"/>
      <c r="Z2"/>
      <c r="AA2" s="68"/>
    </row>
    <row r="3" spans="1:27" s="27" customFormat="1" ht="15.15" customHeight="1" x14ac:dyDescent="0.3">
      <c r="A3"/>
      <c r="B3"/>
      <c r="C3"/>
      <c r="D3" s="3"/>
      <c r="E3"/>
      <c r="H3" s="25"/>
      <c r="I3" s="25"/>
      <c r="J3" s="47"/>
      <c r="K3" s="47"/>
      <c r="L3" s="25"/>
      <c r="M3" s="25"/>
      <c r="N3" s="47"/>
      <c r="O3" s="47"/>
      <c r="P3" s="47"/>
      <c r="Q3" s="25"/>
      <c r="R3" s="25"/>
      <c r="S3" s="47"/>
      <c r="T3" s="47"/>
      <c r="U3" s="66"/>
      <c r="V3" s="25"/>
      <c r="W3" s="25"/>
      <c r="X3" s="25"/>
      <c r="Y3"/>
      <c r="Z3"/>
      <c r="AA3" s="68"/>
    </row>
    <row r="4" spans="1:27" s="27" customFormat="1" x14ac:dyDescent="0.3">
      <c r="A4" s="316"/>
      <c r="B4" s="720" t="s">
        <v>533</v>
      </c>
      <c r="C4" s="720"/>
      <c r="D4" s="720" t="s">
        <v>294</v>
      </c>
      <c r="E4" s="721"/>
      <c r="H4" s="25"/>
      <c r="I4" s="25"/>
      <c r="J4"/>
      <c r="K4"/>
      <c r="L4" s="25"/>
      <c r="M4" s="25"/>
      <c r="N4"/>
      <c r="O4"/>
      <c r="P4"/>
      <c r="Q4" s="25"/>
      <c r="R4" s="25"/>
      <c r="S4"/>
      <c r="T4"/>
      <c r="U4" s="66"/>
      <c r="V4" s="25"/>
      <c r="W4" s="25"/>
      <c r="X4" s="25"/>
      <c r="Y4"/>
      <c r="Z4"/>
      <c r="AA4" s="68"/>
    </row>
    <row r="5" spans="1:27" s="27" customFormat="1" x14ac:dyDescent="0.3">
      <c r="A5" s="317"/>
      <c r="B5" s="103" t="s">
        <v>340</v>
      </c>
      <c r="C5" s="103" t="s">
        <v>341</v>
      </c>
      <c r="D5" s="103" t="s">
        <v>340</v>
      </c>
      <c r="E5" s="104" t="s">
        <v>341</v>
      </c>
      <c r="H5" s="25"/>
      <c r="I5" s="25"/>
      <c r="J5"/>
      <c r="K5"/>
      <c r="L5" s="25"/>
      <c r="M5" s="25"/>
      <c r="N5"/>
      <c r="O5"/>
      <c r="P5"/>
      <c r="Q5" s="25"/>
      <c r="R5" s="25"/>
      <c r="S5"/>
      <c r="T5"/>
      <c r="U5" s="66"/>
      <c r="V5" s="25"/>
      <c r="W5" s="25"/>
      <c r="X5" s="25"/>
      <c r="Y5"/>
      <c r="Z5"/>
      <c r="AA5" s="68"/>
    </row>
    <row r="6" spans="1:27" s="27" customFormat="1" x14ac:dyDescent="0.3">
      <c r="A6" s="318" t="s">
        <v>83</v>
      </c>
      <c r="B6" s="319">
        <f>Q17/5</f>
        <v>0</v>
      </c>
      <c r="C6" s="320">
        <f>R17/5</f>
        <v>0</v>
      </c>
      <c r="D6" s="321">
        <f>S17/5</f>
        <v>0</v>
      </c>
      <c r="E6" s="321">
        <f>T17/5</f>
        <v>0</v>
      </c>
      <c r="H6" s="25"/>
      <c r="I6" s="25"/>
      <c r="J6"/>
      <c r="K6"/>
      <c r="L6" s="25"/>
      <c r="M6" s="25"/>
      <c r="N6"/>
      <c r="O6"/>
      <c r="P6"/>
      <c r="Q6" s="25"/>
      <c r="R6" s="25"/>
      <c r="S6"/>
      <c r="T6"/>
      <c r="U6" s="66"/>
      <c r="V6" s="25"/>
      <c r="W6" s="25"/>
      <c r="X6" s="25"/>
      <c r="Y6"/>
      <c r="Z6"/>
      <c r="AA6" s="68"/>
    </row>
    <row r="7" spans="1:27" s="27" customFormat="1" x14ac:dyDescent="0.3">
      <c r="A7" s="322" t="s">
        <v>534</v>
      </c>
      <c r="B7" s="323">
        <f>Q15+Q16</f>
        <v>0</v>
      </c>
      <c r="C7" s="323">
        <f>R15+R16</f>
        <v>0</v>
      </c>
      <c r="D7" s="323">
        <f>S15+S16</f>
        <v>0</v>
      </c>
      <c r="E7" s="323">
        <f>T15+T16</f>
        <v>0</v>
      </c>
      <c r="H7" s="25"/>
      <c r="I7" s="25"/>
      <c r="J7"/>
      <c r="K7"/>
      <c r="L7" s="25"/>
      <c r="M7" s="25"/>
      <c r="N7"/>
      <c r="O7"/>
      <c r="P7"/>
      <c r="Q7" s="25"/>
      <c r="R7" s="25"/>
      <c r="S7"/>
      <c r="T7"/>
      <c r="U7" s="66"/>
      <c r="V7" s="25"/>
      <c r="W7" s="25"/>
      <c r="X7" s="25"/>
      <c r="Y7"/>
      <c r="Z7"/>
      <c r="AA7" s="68"/>
    </row>
    <row r="8" spans="1:27" s="27" customFormat="1" x14ac:dyDescent="0.3">
      <c r="A8" s="94" t="s">
        <v>82</v>
      </c>
      <c r="B8" s="95">
        <v>0</v>
      </c>
      <c r="C8" s="95">
        <v>0</v>
      </c>
      <c r="D8" s="96">
        <v>0</v>
      </c>
      <c r="E8" s="97">
        <v>0</v>
      </c>
      <c r="H8" s="25"/>
      <c r="I8" s="25"/>
      <c r="J8"/>
      <c r="K8"/>
      <c r="L8" s="25"/>
      <c r="M8" s="25"/>
      <c r="N8"/>
      <c r="O8"/>
      <c r="P8"/>
      <c r="Q8" s="25"/>
      <c r="R8" s="25"/>
      <c r="S8"/>
      <c r="T8"/>
      <c r="U8" s="66"/>
      <c r="V8" s="25"/>
      <c r="W8" s="25"/>
      <c r="X8" s="25"/>
      <c r="Y8"/>
      <c r="Z8"/>
      <c r="AA8" s="68"/>
    </row>
    <row r="9" spans="1:27" s="27" customFormat="1" x14ac:dyDescent="0.3">
      <c r="A9" s="324" t="s">
        <v>532</v>
      </c>
      <c r="B9" s="325">
        <f>Q18</f>
        <v>0</v>
      </c>
      <c r="C9" s="325">
        <f>R18</f>
        <v>0</v>
      </c>
      <c r="D9" s="326">
        <f>S18</f>
        <v>0</v>
      </c>
      <c r="E9" s="327">
        <f>T18</f>
        <v>0</v>
      </c>
      <c r="F9" s="22"/>
      <c r="H9" s="25"/>
      <c r="I9" s="25"/>
      <c r="J9"/>
      <c r="K9"/>
      <c r="L9" s="25"/>
      <c r="M9" s="25"/>
      <c r="N9"/>
      <c r="O9"/>
      <c r="P9"/>
      <c r="Q9" s="25"/>
      <c r="R9" s="25"/>
      <c r="S9"/>
      <c r="T9"/>
      <c r="U9" s="66"/>
      <c r="V9" s="25"/>
      <c r="W9" s="25"/>
      <c r="X9" s="25"/>
      <c r="Y9"/>
      <c r="Z9"/>
      <c r="AA9" s="68"/>
    </row>
    <row r="10" spans="1:27" x14ac:dyDescent="0.3">
      <c r="A10"/>
      <c r="B10" s="1"/>
      <c r="E10" s="1"/>
      <c r="F10" s="1"/>
      <c r="H10" s="24"/>
      <c r="I10" s="24"/>
      <c r="L10" s="24"/>
      <c r="M10" s="24"/>
      <c r="Q10" s="24"/>
      <c r="R10" s="24"/>
      <c r="V10" s="24"/>
      <c r="W10" s="24"/>
      <c r="X10" s="24"/>
      <c r="AA10" s="7"/>
    </row>
    <row r="11" spans="1:27" x14ac:dyDescent="0.3">
      <c r="A11" s="328"/>
      <c r="B11" s="328"/>
      <c r="C11" s="329"/>
      <c r="D11" s="328"/>
      <c r="E11" s="329"/>
      <c r="F11" s="329"/>
      <c r="G11" s="328"/>
      <c r="H11" s="963" t="s">
        <v>551</v>
      </c>
      <c r="I11" s="963"/>
      <c r="J11" s="963"/>
      <c r="K11" s="963"/>
      <c r="L11" s="963" t="s">
        <v>552</v>
      </c>
      <c r="M11" s="963"/>
      <c r="N11" s="963"/>
      <c r="O11" s="963"/>
      <c r="P11" s="330"/>
      <c r="Q11" s="852" t="s">
        <v>553</v>
      </c>
      <c r="R11" s="853"/>
      <c r="S11" s="853"/>
      <c r="T11" s="854"/>
      <c r="U11" s="328"/>
    </row>
    <row r="12" spans="1:27" ht="71.400000000000006" x14ac:dyDescent="0.3">
      <c r="A12" s="308" t="s">
        <v>0</v>
      </c>
      <c r="B12" s="308" t="s">
        <v>49</v>
      </c>
      <c r="C12" s="309" t="s">
        <v>52</v>
      </c>
      <c r="D12" s="309" t="s">
        <v>136</v>
      </c>
      <c r="E12" s="788" t="s">
        <v>46</v>
      </c>
      <c r="F12" s="788"/>
      <c r="G12" s="303" t="s">
        <v>1</v>
      </c>
      <c r="H12" s="967" t="s">
        <v>294</v>
      </c>
      <c r="I12" s="968"/>
      <c r="J12" s="947" t="s">
        <v>504</v>
      </c>
      <c r="K12" s="949"/>
      <c r="L12" s="967" t="s">
        <v>357</v>
      </c>
      <c r="M12" s="968"/>
      <c r="N12" s="947" t="s">
        <v>504</v>
      </c>
      <c r="O12" s="949"/>
      <c r="P12" s="331" t="s">
        <v>299</v>
      </c>
      <c r="Q12" s="943" t="s">
        <v>362</v>
      </c>
      <c r="R12" s="944"/>
      <c r="S12" s="945" t="s">
        <v>526</v>
      </c>
      <c r="T12" s="946"/>
      <c r="U12" s="303" t="s">
        <v>78</v>
      </c>
    </row>
    <row r="13" spans="1:27" ht="15" customHeight="1" x14ac:dyDescent="0.3">
      <c r="A13" s="308"/>
      <c r="B13" s="308"/>
      <c r="C13" s="309"/>
      <c r="D13" s="309"/>
      <c r="E13" s="303"/>
      <c r="F13" s="303"/>
      <c r="G13" s="303"/>
      <c r="H13" s="301" t="s">
        <v>340</v>
      </c>
      <c r="I13" s="301" t="s">
        <v>341</v>
      </c>
      <c r="J13" s="332" t="s">
        <v>340</v>
      </c>
      <c r="K13" s="333" t="s">
        <v>341</v>
      </c>
      <c r="L13" s="301" t="s">
        <v>340</v>
      </c>
      <c r="M13" s="301" t="s">
        <v>341</v>
      </c>
      <c r="N13" s="332" t="s">
        <v>340</v>
      </c>
      <c r="O13" s="333" t="s">
        <v>341</v>
      </c>
      <c r="P13" s="334"/>
      <c r="Q13" s="301" t="s">
        <v>340</v>
      </c>
      <c r="R13" s="301" t="s">
        <v>341</v>
      </c>
      <c r="S13" s="332" t="s">
        <v>340</v>
      </c>
      <c r="T13" s="333" t="s">
        <v>341</v>
      </c>
      <c r="U13" s="303"/>
    </row>
    <row r="14" spans="1:27" ht="13.65" customHeight="1" x14ac:dyDescent="0.3">
      <c r="A14" s="335">
        <v>1</v>
      </c>
      <c r="B14" s="335"/>
      <c r="C14" s="336"/>
      <c r="D14" s="336"/>
      <c r="E14" s="964" t="s">
        <v>240</v>
      </c>
      <c r="F14" s="965"/>
      <c r="G14" s="965"/>
      <c r="H14" s="965"/>
      <c r="I14" s="965"/>
      <c r="J14" s="965"/>
      <c r="K14" s="965"/>
      <c r="L14" s="965"/>
      <c r="M14" s="965"/>
      <c r="N14" s="965"/>
      <c r="O14" s="965"/>
      <c r="P14" s="965"/>
      <c r="Q14" s="965"/>
      <c r="R14" s="965"/>
      <c r="S14" s="965"/>
      <c r="T14" s="965"/>
      <c r="U14" s="966"/>
    </row>
    <row r="15" spans="1:27" ht="28.8" x14ac:dyDescent="0.3">
      <c r="A15" s="337">
        <v>1.1000000000000001</v>
      </c>
      <c r="B15" s="337" t="s">
        <v>2</v>
      </c>
      <c r="C15" s="337" t="s">
        <v>79</v>
      </c>
      <c r="D15" s="338" t="s">
        <v>81</v>
      </c>
      <c r="E15" s="338"/>
      <c r="F15" s="339" t="s">
        <v>241</v>
      </c>
      <c r="G15" s="311" t="s">
        <v>242</v>
      </c>
      <c r="H15" s="311"/>
      <c r="I15" s="311"/>
      <c r="J15" s="340"/>
      <c r="K15" s="340"/>
      <c r="L15" s="311"/>
      <c r="M15" s="311"/>
      <c r="N15" s="340"/>
      <c r="O15" s="340"/>
      <c r="P15" s="341">
        <v>1</v>
      </c>
      <c r="Q15" s="342">
        <f>(((H15*$C$2)+J15)+((L15*$C$2)+N15))*P15</f>
        <v>0</v>
      </c>
      <c r="R15" s="342">
        <f>(((I15*$C$2)+K15)+((M15*$C$2)+O15))*P15</f>
        <v>0</v>
      </c>
      <c r="S15" s="343">
        <f t="shared" ref="S15:T17" si="0">(H15)+(L15*P15)</f>
        <v>0</v>
      </c>
      <c r="T15" s="343">
        <f t="shared" si="0"/>
        <v>0</v>
      </c>
      <c r="U15" s="345" t="s">
        <v>617</v>
      </c>
    </row>
    <row r="16" spans="1:27" ht="57.6" x14ac:dyDescent="0.3">
      <c r="A16" s="337">
        <v>1.2</v>
      </c>
      <c r="B16" s="337" t="s">
        <v>171</v>
      </c>
      <c r="C16" s="337" t="s">
        <v>79</v>
      </c>
      <c r="D16" s="338" t="s">
        <v>81</v>
      </c>
      <c r="E16" s="338"/>
      <c r="F16" s="344" t="s">
        <v>244</v>
      </c>
      <c r="G16" s="311" t="s">
        <v>243</v>
      </c>
      <c r="H16" s="342"/>
      <c r="I16" s="342"/>
      <c r="J16" s="343"/>
      <c r="K16" s="343"/>
      <c r="L16" s="342"/>
      <c r="M16" s="342"/>
      <c r="N16" s="343"/>
      <c r="O16" s="343"/>
      <c r="P16" s="343">
        <v>1</v>
      </c>
      <c r="Q16" s="342">
        <f>(((H16*$C$2)+J16)+((L16*$C$2)+N16))*P16</f>
        <v>0</v>
      </c>
      <c r="R16" s="342">
        <f>(((I16*$C$2)+K16)+((M16*$C$2)+O16))*P16</f>
        <v>0</v>
      </c>
      <c r="S16" s="343">
        <f t="shared" si="0"/>
        <v>0</v>
      </c>
      <c r="T16" s="343">
        <f t="shared" si="0"/>
        <v>0</v>
      </c>
      <c r="U16" s="345" t="s">
        <v>269</v>
      </c>
    </row>
    <row r="17" spans="1:21" x14ac:dyDescent="0.3">
      <c r="A17" s="337">
        <v>1.3</v>
      </c>
      <c r="B17" s="337" t="s">
        <v>171</v>
      </c>
      <c r="C17" s="337"/>
      <c r="D17" s="338" t="s">
        <v>83</v>
      </c>
      <c r="E17" s="338"/>
      <c r="F17" s="346" t="s">
        <v>246</v>
      </c>
      <c r="G17" s="311" t="s">
        <v>245</v>
      </c>
      <c r="H17" s="311"/>
      <c r="I17" s="311"/>
      <c r="J17" s="347"/>
      <c r="K17" s="347"/>
      <c r="L17" s="311"/>
      <c r="M17" s="311"/>
      <c r="N17" s="347"/>
      <c r="O17" s="347"/>
      <c r="P17" s="347">
        <v>5</v>
      </c>
      <c r="Q17" s="342">
        <f>(((H17*$C$2)+J17)+((L17*$C$2)+N17))*P17</f>
        <v>0</v>
      </c>
      <c r="R17" s="342">
        <f>(((I17*$C$2)+K17)+((M17*$C$2)+O17))*P17</f>
        <v>0</v>
      </c>
      <c r="S17" s="343">
        <f t="shared" si="0"/>
        <v>0</v>
      </c>
      <c r="T17" s="343">
        <f t="shared" si="0"/>
        <v>0</v>
      </c>
      <c r="U17" s="311"/>
    </row>
    <row r="18" spans="1:21" x14ac:dyDescent="0.3">
      <c r="A18" s="348"/>
      <c r="B18" s="348"/>
      <c r="C18" s="348"/>
      <c r="D18" s="348"/>
      <c r="E18" s="348"/>
      <c r="F18" s="348"/>
      <c r="G18" s="348"/>
      <c r="H18" s="349"/>
      <c r="I18" s="349"/>
      <c r="J18" s="350"/>
      <c r="K18" s="350"/>
      <c r="L18" s="349"/>
      <c r="M18" s="349"/>
      <c r="N18" s="350"/>
      <c r="O18" s="350"/>
      <c r="P18" s="351" t="s">
        <v>368</v>
      </c>
      <c r="Q18" s="352">
        <f>SUM(Q15:Q17)</f>
        <v>0</v>
      </c>
      <c r="R18" s="352">
        <f>SUM(R15:R17)</f>
        <v>0</v>
      </c>
      <c r="S18" s="352">
        <f>SUM(S15:S17)</f>
        <v>0</v>
      </c>
      <c r="T18" s="353">
        <f>SUM(T5:T17)</f>
        <v>0</v>
      </c>
      <c r="U18" s="311"/>
    </row>
    <row r="23" spans="1:21" x14ac:dyDescent="0.3">
      <c r="A23"/>
      <c r="C23"/>
      <c r="H23"/>
      <c r="I23"/>
      <c r="J23"/>
      <c r="K23"/>
      <c r="L23"/>
      <c r="M23"/>
      <c r="N23"/>
      <c r="O23"/>
      <c r="P23"/>
      <c r="Q23"/>
      <c r="R23"/>
      <c r="S23"/>
      <c r="T23"/>
    </row>
    <row r="24" spans="1:21" x14ac:dyDescent="0.3">
      <c r="A24"/>
      <c r="C24"/>
      <c r="H24"/>
      <c r="I24"/>
      <c r="J24"/>
      <c r="K24"/>
      <c r="L24"/>
      <c r="M24"/>
      <c r="N24"/>
      <c r="O24"/>
      <c r="P24"/>
      <c r="Q24"/>
      <c r="R24"/>
      <c r="S24"/>
      <c r="T24"/>
    </row>
    <row r="25" spans="1:21" x14ac:dyDescent="0.3">
      <c r="A25"/>
      <c r="C25"/>
      <c r="H25"/>
      <c r="I25"/>
      <c r="J25"/>
      <c r="K25"/>
      <c r="L25"/>
      <c r="M25"/>
      <c r="N25"/>
      <c r="O25"/>
      <c r="P25"/>
      <c r="Q25"/>
      <c r="R25"/>
      <c r="S25"/>
      <c r="T25"/>
    </row>
    <row r="26" spans="1:21" x14ac:dyDescent="0.3">
      <c r="A26"/>
      <c r="C26"/>
      <c r="H26"/>
      <c r="I26"/>
      <c r="J26"/>
      <c r="K26"/>
      <c r="L26"/>
      <c r="M26"/>
      <c r="N26"/>
      <c r="O26"/>
      <c r="P26"/>
      <c r="Q26"/>
      <c r="R26"/>
      <c r="S26"/>
      <c r="T26"/>
    </row>
    <row r="27" spans="1:21" x14ac:dyDescent="0.3">
      <c r="A27"/>
      <c r="C27"/>
      <c r="H27"/>
      <c r="I27"/>
      <c r="J27"/>
      <c r="K27"/>
      <c r="L27"/>
      <c r="M27"/>
      <c r="N27"/>
      <c r="O27"/>
      <c r="P27"/>
      <c r="Q27"/>
      <c r="R27"/>
      <c r="S27"/>
      <c r="T27"/>
    </row>
    <row r="28" spans="1:21" x14ac:dyDescent="0.3">
      <c r="A28"/>
      <c r="C28"/>
      <c r="H28"/>
      <c r="I28"/>
      <c r="J28"/>
      <c r="K28"/>
      <c r="L28"/>
      <c r="M28"/>
      <c r="N28"/>
      <c r="O28"/>
      <c r="P28"/>
      <c r="Q28"/>
      <c r="R28"/>
      <c r="S28"/>
      <c r="T28"/>
    </row>
    <row r="29" spans="1:21" x14ac:dyDescent="0.3">
      <c r="A29"/>
      <c r="C29"/>
      <c r="H29"/>
      <c r="I29"/>
      <c r="J29"/>
      <c r="K29"/>
      <c r="L29"/>
      <c r="M29"/>
      <c r="N29"/>
      <c r="O29"/>
      <c r="P29"/>
      <c r="Q29"/>
      <c r="R29"/>
      <c r="S29"/>
      <c r="T29"/>
    </row>
    <row r="32" spans="1:21" x14ac:dyDescent="0.3">
      <c r="A32"/>
      <c r="C32"/>
      <c r="H32"/>
      <c r="I32"/>
      <c r="J32"/>
      <c r="K32"/>
      <c r="L32"/>
      <c r="M32"/>
      <c r="N32"/>
      <c r="O32"/>
      <c r="P32"/>
      <c r="Q32"/>
      <c r="R32"/>
      <c r="S32"/>
      <c r="T32"/>
    </row>
    <row r="33" spans="1:20" x14ac:dyDescent="0.3">
      <c r="A33"/>
      <c r="C33"/>
      <c r="H33"/>
      <c r="I33"/>
      <c r="J33"/>
      <c r="K33"/>
      <c r="L33"/>
      <c r="M33"/>
      <c r="N33"/>
      <c r="O33"/>
      <c r="P33"/>
      <c r="Q33"/>
      <c r="R33"/>
      <c r="S33"/>
      <c r="T33"/>
    </row>
    <row r="34" spans="1:20" x14ac:dyDescent="0.3">
      <c r="A34"/>
      <c r="C34"/>
      <c r="H34"/>
      <c r="I34"/>
      <c r="J34"/>
      <c r="K34"/>
      <c r="L34"/>
      <c r="M34"/>
      <c r="N34"/>
      <c r="O34"/>
      <c r="P34"/>
      <c r="Q34"/>
      <c r="R34"/>
      <c r="S34"/>
      <c r="T34"/>
    </row>
    <row r="35" spans="1:20" x14ac:dyDescent="0.3">
      <c r="A35"/>
      <c r="C35"/>
      <c r="H35"/>
      <c r="I35"/>
      <c r="J35"/>
      <c r="K35"/>
      <c r="L35"/>
      <c r="M35"/>
      <c r="N35"/>
      <c r="O35"/>
      <c r="P35"/>
      <c r="Q35"/>
      <c r="R35"/>
      <c r="S35"/>
      <c r="T35"/>
    </row>
    <row r="36" spans="1:20" x14ac:dyDescent="0.3">
      <c r="A36"/>
      <c r="C36"/>
      <c r="H36"/>
      <c r="I36"/>
      <c r="J36"/>
      <c r="K36"/>
      <c r="L36"/>
      <c r="M36"/>
      <c r="N36"/>
      <c r="O36"/>
      <c r="P36"/>
      <c r="Q36"/>
      <c r="R36"/>
      <c r="S36"/>
      <c r="T36"/>
    </row>
  </sheetData>
  <mergeCells count="15">
    <mergeCell ref="E14:U14"/>
    <mergeCell ref="Q11:T11"/>
    <mergeCell ref="E12:F12"/>
    <mergeCell ref="H12:I12"/>
    <mergeCell ref="J12:K12"/>
    <mergeCell ref="L11:O11"/>
    <mergeCell ref="L12:M12"/>
    <mergeCell ref="N12:O12"/>
    <mergeCell ref="Q12:R12"/>
    <mergeCell ref="S12:T12"/>
    <mergeCell ref="A1:C1"/>
    <mergeCell ref="A2:B2"/>
    <mergeCell ref="B4:C4"/>
    <mergeCell ref="D4:E4"/>
    <mergeCell ref="H11:K11"/>
  </mergeCells>
  <phoneticPr fontId="1" type="noConversion"/>
  <pageMargins left="0.7" right="0.7" top="0.75" bottom="0.75" header="0.3" footer="0.3"/>
  <pageSetup scale="53" orientation="landscape"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9"/>
  <sheetViews>
    <sheetView workbookViewId="0">
      <selection activeCell="C19" sqref="C19"/>
    </sheetView>
  </sheetViews>
  <sheetFormatPr defaultColWidth="12.44140625" defaultRowHeight="14.4" x14ac:dyDescent="0.3"/>
  <cols>
    <col min="1" max="1" width="55.44140625" style="5" bestFit="1" customWidth="1"/>
    <col min="2" max="2" width="18" customWidth="1"/>
    <col min="3" max="3" width="19.44140625" bestFit="1" customWidth="1"/>
    <col min="4" max="4" width="15.33203125" customWidth="1"/>
  </cols>
  <sheetData>
    <row r="1" spans="1:4" ht="21.9" customHeight="1" x14ac:dyDescent="0.3">
      <c r="A1" s="12"/>
      <c r="B1" s="13" t="s">
        <v>583</v>
      </c>
      <c r="C1" s="13" t="s">
        <v>584</v>
      </c>
      <c r="D1" s="13" t="s">
        <v>585</v>
      </c>
    </row>
    <row r="2" spans="1:4" ht="21.9" customHeight="1" x14ac:dyDescent="0.3">
      <c r="A2" s="12"/>
      <c r="B2" s="14" t="s">
        <v>270</v>
      </c>
      <c r="C2" s="14" t="s">
        <v>271</v>
      </c>
      <c r="D2" s="14" t="s">
        <v>272</v>
      </c>
    </row>
    <row r="3" spans="1:4" ht="21.9" customHeight="1" x14ac:dyDescent="0.3">
      <c r="A3" s="12" t="s">
        <v>273</v>
      </c>
      <c r="B3" s="15">
        <v>5000</v>
      </c>
      <c r="C3" s="15">
        <v>15000</v>
      </c>
      <c r="D3" s="15">
        <v>50000</v>
      </c>
    </row>
    <row r="4" spans="1:4" ht="21.9" customHeight="1" x14ac:dyDescent="0.3">
      <c r="A4" s="12" t="s">
        <v>521</v>
      </c>
      <c r="B4" s="15">
        <v>2000</v>
      </c>
      <c r="C4" s="15">
        <v>4040</v>
      </c>
      <c r="D4" s="15">
        <v>20000</v>
      </c>
    </row>
    <row r="5" spans="1:4" ht="21.9" customHeight="1" x14ac:dyDescent="0.3">
      <c r="A5" s="12" t="s">
        <v>274</v>
      </c>
      <c r="B5" s="15">
        <v>2000</v>
      </c>
      <c r="C5" s="15">
        <v>14000</v>
      </c>
      <c r="D5" s="15">
        <v>45000</v>
      </c>
    </row>
    <row r="6" spans="1:4" ht="21.9" customHeight="1" x14ac:dyDescent="0.3">
      <c r="A6" s="12" t="s">
        <v>275</v>
      </c>
      <c r="B6" s="15">
        <v>5000</v>
      </c>
      <c r="C6" s="15">
        <v>10000</v>
      </c>
      <c r="D6" s="15">
        <v>25000</v>
      </c>
    </row>
    <row r="7" spans="1:4" ht="21.9" customHeight="1" x14ac:dyDescent="0.3">
      <c r="A7" s="12" t="s">
        <v>276</v>
      </c>
      <c r="B7" s="16">
        <v>500</v>
      </c>
      <c r="C7" s="15">
        <v>1500</v>
      </c>
      <c r="D7" s="15">
        <v>3000</v>
      </c>
    </row>
    <row r="8" spans="1:4" ht="21.9" customHeight="1" x14ac:dyDescent="0.3">
      <c r="A8" s="12" t="s">
        <v>277</v>
      </c>
      <c r="B8" s="16">
        <v>25</v>
      </c>
      <c r="C8" s="16">
        <f>'Cover Sheet'!B12</f>
        <v>773</v>
      </c>
      <c r="D8" s="15">
        <v>500</v>
      </c>
    </row>
    <row r="9" spans="1:4" ht="21.9" customHeight="1" x14ac:dyDescent="0.3">
      <c r="A9" s="12" t="s">
        <v>278</v>
      </c>
      <c r="B9" s="17">
        <f>B8*10</f>
        <v>250</v>
      </c>
      <c r="C9" s="15">
        <f>C8*10</f>
        <v>7730</v>
      </c>
      <c r="D9" s="15">
        <f>D8*10</f>
        <v>5000</v>
      </c>
    </row>
    <row r="10" spans="1:4" ht="21.9" customHeight="1" x14ac:dyDescent="0.3">
      <c r="A10" s="12" t="s">
        <v>522</v>
      </c>
      <c r="B10" s="64">
        <v>100</v>
      </c>
      <c r="C10" s="64">
        <v>100</v>
      </c>
      <c r="D10" s="64">
        <v>100</v>
      </c>
    </row>
    <row r="11" spans="1:4" ht="21.9" customHeight="1" x14ac:dyDescent="0.3">
      <c r="A11" s="12" t="s">
        <v>279</v>
      </c>
      <c r="B11" s="17">
        <f>B9*0.2</f>
        <v>50</v>
      </c>
      <c r="C11" s="17">
        <f>C9*0.2</f>
        <v>1546</v>
      </c>
      <c r="D11" s="15">
        <f>D9*0.2</f>
        <v>1000</v>
      </c>
    </row>
    <row r="12" spans="1:4" ht="21.9" customHeight="1" x14ac:dyDescent="0.3">
      <c r="A12" s="12" t="s">
        <v>280</v>
      </c>
      <c r="B12" s="17">
        <f>B8*3</f>
        <v>75</v>
      </c>
      <c r="C12" s="17">
        <f>C8*3</f>
        <v>2319</v>
      </c>
      <c r="D12" s="15">
        <f>D8*3</f>
        <v>1500</v>
      </c>
    </row>
    <row r="13" spans="1:4" ht="21.9" customHeight="1" x14ac:dyDescent="0.3">
      <c r="A13" s="12" t="s">
        <v>281</v>
      </c>
      <c r="B13" s="16" t="s">
        <v>282</v>
      </c>
      <c r="C13" s="16" t="s">
        <v>283</v>
      </c>
      <c r="D13" s="16" t="s">
        <v>284</v>
      </c>
    </row>
    <row r="14" spans="1:4" ht="21.9" customHeight="1" x14ac:dyDescent="0.3">
      <c r="A14" s="12"/>
      <c r="B14" s="16"/>
      <c r="C14" s="16"/>
      <c r="D14" s="16"/>
    </row>
    <row r="15" spans="1:4" ht="21.9" customHeight="1" x14ac:dyDescent="0.3">
      <c r="A15" s="12" t="s">
        <v>285</v>
      </c>
      <c r="B15" s="18">
        <v>0.2</v>
      </c>
      <c r="C15" s="18">
        <v>0.3</v>
      </c>
      <c r="D15" s="18">
        <v>0.4</v>
      </c>
    </row>
    <row r="16" spans="1:4" ht="21.9" customHeight="1" x14ac:dyDescent="0.3">
      <c r="A16" s="12" t="s">
        <v>286</v>
      </c>
      <c r="B16" s="17">
        <f>B9*0.2</f>
        <v>50</v>
      </c>
      <c r="C16" s="17">
        <f>C9*0.3</f>
        <v>2319</v>
      </c>
      <c r="D16" s="19">
        <f>D9*0.4</f>
        <v>2000</v>
      </c>
    </row>
    <row r="17" spans="1:4" ht="21.9" customHeight="1" x14ac:dyDescent="0.3">
      <c r="A17" s="12"/>
      <c r="B17" s="17"/>
      <c r="C17" s="17"/>
      <c r="D17" s="19"/>
    </row>
    <row r="18" spans="1:4" ht="21.9" customHeight="1" x14ac:dyDescent="0.3">
      <c r="A18" s="20" t="s">
        <v>287</v>
      </c>
      <c r="B18" s="18">
        <v>0.05</v>
      </c>
      <c r="C18" s="18">
        <v>0.1</v>
      </c>
      <c r="D18" s="18">
        <v>0.15</v>
      </c>
    </row>
    <row r="19" spans="1:4" ht="21.9" customHeight="1" x14ac:dyDescent="0.3">
      <c r="A19" s="20" t="s">
        <v>288</v>
      </c>
      <c r="B19" s="17">
        <f>B8*0.05</f>
        <v>1.25</v>
      </c>
      <c r="C19" s="17">
        <f>C8*0.1</f>
        <v>77.300000000000011</v>
      </c>
      <c r="D19" s="17">
        <f>D8*0.15</f>
        <v>75</v>
      </c>
    </row>
    <row r="20" spans="1:4" ht="21.9" customHeight="1" x14ac:dyDescent="0.3">
      <c r="A20" s="20"/>
      <c r="B20" s="17"/>
      <c r="C20" s="17"/>
      <c r="D20" s="17"/>
    </row>
    <row r="21" spans="1:4" ht="42.9" customHeight="1" x14ac:dyDescent="0.3">
      <c r="A21" s="20" t="s">
        <v>289</v>
      </c>
      <c r="B21" s="17">
        <v>5</v>
      </c>
      <c r="C21" s="17">
        <f>C8*0.25</f>
        <v>193.25</v>
      </c>
      <c r="D21" s="17">
        <v>150</v>
      </c>
    </row>
    <row r="22" spans="1:4" ht="42.9" customHeight="1" x14ac:dyDescent="0.3">
      <c r="A22" s="20" t="s">
        <v>290</v>
      </c>
      <c r="B22" s="17">
        <v>20</v>
      </c>
      <c r="C22" s="17">
        <f>C8*0.75</f>
        <v>579.75</v>
      </c>
      <c r="D22" s="17">
        <v>350</v>
      </c>
    </row>
    <row r="23" spans="1:4" ht="21.9" customHeight="1" x14ac:dyDescent="0.3">
      <c r="A23" s="12" t="s">
        <v>528</v>
      </c>
      <c r="B23" s="17">
        <v>10</v>
      </c>
      <c r="C23" s="17">
        <v>75</v>
      </c>
      <c r="D23" s="17">
        <v>190</v>
      </c>
    </row>
    <row r="24" spans="1:4" ht="21.9" customHeight="1" x14ac:dyDescent="0.3">
      <c r="A24" s="12" t="s">
        <v>291</v>
      </c>
      <c r="B24" s="16">
        <f>B23*2</f>
        <v>20</v>
      </c>
      <c r="C24" s="61">
        <f>C23*2</f>
        <v>150</v>
      </c>
      <c r="D24" s="61">
        <f>D23*2</f>
        <v>380</v>
      </c>
    </row>
    <row r="25" spans="1:4" ht="21.9" customHeight="1" x14ac:dyDescent="0.3">
      <c r="A25" s="12" t="s">
        <v>292</v>
      </c>
      <c r="B25" s="16">
        <v>5</v>
      </c>
      <c r="C25" s="16">
        <f>'Cover Sheet'!B26</f>
        <v>3</v>
      </c>
      <c r="D25" s="16">
        <v>30</v>
      </c>
    </row>
    <row r="26" spans="1:4" ht="42.9" customHeight="1" x14ac:dyDescent="0.3">
      <c r="A26" s="20" t="s">
        <v>293</v>
      </c>
      <c r="B26" s="16">
        <v>5</v>
      </c>
      <c r="C26" s="16">
        <v>5</v>
      </c>
      <c r="D26" s="16">
        <v>20</v>
      </c>
    </row>
    <row r="27" spans="1:4" x14ac:dyDescent="0.3">
      <c r="A27" s="12"/>
      <c r="B27" s="16"/>
      <c r="C27" s="16"/>
      <c r="D27" s="16"/>
    </row>
    <row r="28" spans="1:4" x14ac:dyDescent="0.3">
      <c r="A28" s="12"/>
      <c r="B28" s="16"/>
      <c r="C28" s="16"/>
      <c r="D28" s="16"/>
    </row>
    <row r="29" spans="1:4" x14ac:dyDescent="0.3">
      <c r="A29" s="12"/>
      <c r="B29" s="16"/>
      <c r="C29" s="16"/>
      <c r="D29" s="16"/>
    </row>
  </sheetData>
  <pageMargins left="0.7" right="0.7" top="0.75" bottom="0.75" header="0.3" footer="0.3"/>
  <pageSetup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1"/>
  <sheetViews>
    <sheetView workbookViewId="0">
      <selection activeCell="H39" sqref="H39"/>
    </sheetView>
  </sheetViews>
  <sheetFormatPr defaultColWidth="8.88671875" defaultRowHeight="14.4" x14ac:dyDescent="0.3"/>
  <cols>
    <col min="1" max="1" width="33.33203125" customWidth="1"/>
  </cols>
  <sheetData>
    <row r="1" spans="1:6" x14ac:dyDescent="0.3">
      <c r="A1" s="29"/>
      <c r="B1" s="29"/>
      <c r="C1" s="29" t="s">
        <v>369</v>
      </c>
      <c r="D1" s="29" t="s">
        <v>370</v>
      </c>
      <c r="E1" s="30"/>
      <c r="F1" s="31"/>
    </row>
    <row r="2" spans="1:6" x14ac:dyDescent="0.3">
      <c r="A2" s="32" t="s">
        <v>371</v>
      </c>
      <c r="B2" s="33">
        <v>50</v>
      </c>
      <c r="C2" s="32">
        <v>1</v>
      </c>
      <c r="D2" s="33">
        <f>B2/C2</f>
        <v>50</v>
      </c>
      <c r="E2" s="34" t="s">
        <v>372</v>
      </c>
      <c r="F2" s="35"/>
    </row>
    <row r="3" spans="1:6" x14ac:dyDescent="0.3">
      <c r="A3" s="32" t="s">
        <v>373</v>
      </c>
      <c r="B3" s="33">
        <v>57.5</v>
      </c>
      <c r="C3" s="32">
        <v>30</v>
      </c>
      <c r="D3" s="33">
        <f>B3/C3</f>
        <v>1.9166666666666667</v>
      </c>
      <c r="E3" s="36" t="s">
        <v>374</v>
      </c>
      <c r="F3" s="32"/>
    </row>
    <row r="4" spans="1:6" x14ac:dyDescent="0.3">
      <c r="A4" s="32" t="s">
        <v>375</v>
      </c>
      <c r="B4" s="33">
        <v>45.8</v>
      </c>
      <c r="C4" s="32">
        <v>50</v>
      </c>
      <c r="D4" s="33">
        <f>B4/C4</f>
        <v>0.91599999999999993</v>
      </c>
      <c r="E4" s="32" t="s">
        <v>376</v>
      </c>
      <c r="F4" s="32"/>
    </row>
    <row r="5" spans="1:6" x14ac:dyDescent="0.3">
      <c r="A5" s="32" t="s">
        <v>377</v>
      </c>
      <c r="B5" s="37">
        <v>469</v>
      </c>
      <c r="C5" s="32"/>
      <c r="D5" s="38"/>
      <c r="E5" s="32" t="s">
        <v>378</v>
      </c>
      <c r="F5" s="32"/>
    </row>
    <row r="6" spans="1:6" x14ac:dyDescent="0.3">
      <c r="A6" s="32" t="s">
        <v>379</v>
      </c>
      <c r="B6" s="39">
        <v>78.64</v>
      </c>
      <c r="C6" s="32">
        <v>20</v>
      </c>
      <c r="D6" s="33">
        <f>B6/C6</f>
        <v>3.9319999999999999</v>
      </c>
      <c r="E6" s="32" t="s">
        <v>380</v>
      </c>
      <c r="F6" s="32"/>
    </row>
    <row r="7" spans="1:6" x14ac:dyDescent="0.3">
      <c r="A7" s="32" t="s">
        <v>381</v>
      </c>
      <c r="B7" s="39">
        <v>59.82</v>
      </c>
      <c r="C7" s="32"/>
      <c r="D7" s="38"/>
      <c r="E7" s="40"/>
      <c r="F7" s="32"/>
    </row>
    <row r="8" spans="1:6" x14ac:dyDescent="0.3">
      <c r="A8" s="32"/>
      <c r="B8" s="32"/>
      <c r="C8" s="32"/>
      <c r="D8" s="33">
        <f>SUM(D2:D7)</f>
        <v>56.764666666666663</v>
      </c>
      <c r="E8" s="40"/>
      <c r="F8" s="32"/>
    </row>
    <row r="9" spans="1:6" x14ac:dyDescent="0.3">
      <c r="A9" s="32"/>
      <c r="B9" s="32"/>
      <c r="C9" s="32"/>
      <c r="D9" s="32"/>
      <c r="E9" s="40"/>
      <c r="F9" s="32"/>
    </row>
    <row r="10" spans="1:6" x14ac:dyDescent="0.3">
      <c r="A10" s="32"/>
      <c r="B10" s="32"/>
      <c r="C10" s="32"/>
      <c r="D10" s="32"/>
      <c r="E10" s="40"/>
      <c r="F10" s="32"/>
    </row>
    <row r="11" spans="1:6" x14ac:dyDescent="0.3">
      <c r="A11" s="32"/>
      <c r="B11" s="32"/>
      <c r="C11" s="32"/>
      <c r="D11" s="32"/>
      <c r="E11" s="40"/>
      <c r="F11" s="32"/>
    </row>
  </sheetData>
  <hyperlinks>
    <hyperlink ref="E3" r:id="rId1"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0"/>
  <sheetViews>
    <sheetView workbookViewId="0">
      <selection activeCell="A28" sqref="A28"/>
    </sheetView>
  </sheetViews>
  <sheetFormatPr defaultColWidth="8.88671875" defaultRowHeight="14.4" x14ac:dyDescent="0.3"/>
  <cols>
    <col min="1" max="1" width="54.109375" customWidth="1"/>
    <col min="2" max="2" width="36.33203125" customWidth="1"/>
    <col min="3" max="3" width="33.33203125" customWidth="1"/>
  </cols>
  <sheetData>
    <row r="1" spans="1:3" x14ac:dyDescent="0.3">
      <c r="A1" s="4" t="s">
        <v>218</v>
      </c>
      <c r="B1" s="4" t="s">
        <v>223</v>
      </c>
    </row>
    <row r="2" spans="1:3" ht="43.2" x14ac:dyDescent="0.3">
      <c r="A2" t="s">
        <v>219</v>
      </c>
      <c r="B2" s="7" t="s">
        <v>237</v>
      </c>
      <c r="C2" s="7" t="s">
        <v>226</v>
      </c>
    </row>
    <row r="3" spans="1:3" x14ac:dyDescent="0.3">
      <c r="A3" t="s">
        <v>220</v>
      </c>
      <c r="B3" t="s">
        <v>204</v>
      </c>
    </row>
    <row r="4" spans="1:3" ht="43.2" x14ac:dyDescent="0.3">
      <c r="A4" t="s">
        <v>221</v>
      </c>
      <c r="B4" s="7" t="s">
        <v>235</v>
      </c>
    </row>
    <row r="5" spans="1:3" ht="43.2" x14ac:dyDescent="0.3">
      <c r="A5" t="s">
        <v>222</v>
      </c>
      <c r="B5" s="7" t="s">
        <v>232</v>
      </c>
    </row>
    <row r="6" spans="1:3" x14ac:dyDescent="0.3">
      <c r="A6" t="s">
        <v>224</v>
      </c>
      <c r="B6" s="7" t="s">
        <v>236</v>
      </c>
    </row>
    <row r="7" spans="1:3" x14ac:dyDescent="0.3">
      <c r="A7" t="s">
        <v>228</v>
      </c>
      <c r="B7" t="s">
        <v>229</v>
      </c>
    </row>
    <row r="8" spans="1:3" x14ac:dyDescent="0.3">
      <c r="A8" t="s">
        <v>225</v>
      </c>
      <c r="B8" t="s">
        <v>227</v>
      </c>
    </row>
    <row r="9" spans="1:3" x14ac:dyDescent="0.3">
      <c r="A9" t="s">
        <v>230</v>
      </c>
      <c r="B9" t="s">
        <v>233</v>
      </c>
    </row>
    <row r="10" spans="1:3" x14ac:dyDescent="0.3">
      <c r="A10" t="s">
        <v>231</v>
      </c>
      <c r="B10"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97720-62EB-4E29-96A4-C6AE169866C6}">
  <dimension ref="B2:H33"/>
  <sheetViews>
    <sheetView workbookViewId="0">
      <selection activeCell="B17" sqref="B17:D21"/>
    </sheetView>
  </sheetViews>
  <sheetFormatPr defaultRowHeight="14.4" x14ac:dyDescent="0.3"/>
  <cols>
    <col min="2" max="2" width="47" bestFit="1" customWidth="1"/>
  </cols>
  <sheetData>
    <row r="2" spans="2:8" x14ac:dyDescent="0.3">
      <c r="C2" s="694" t="s">
        <v>731</v>
      </c>
      <c r="D2" s="694"/>
      <c r="E2" s="694"/>
      <c r="F2" s="694"/>
      <c r="G2" s="694"/>
      <c r="H2" s="694"/>
    </row>
    <row r="3" spans="2:8" x14ac:dyDescent="0.3">
      <c r="B3" t="s">
        <v>732</v>
      </c>
      <c r="C3">
        <v>1</v>
      </c>
      <c r="D3">
        <v>2</v>
      </c>
      <c r="E3">
        <v>3</v>
      </c>
      <c r="F3">
        <v>4</v>
      </c>
      <c r="G3" s="27">
        <v>5</v>
      </c>
      <c r="H3" s="27" t="s">
        <v>730</v>
      </c>
    </row>
    <row r="4" spans="2:8" x14ac:dyDescent="0.3">
      <c r="B4" s="4" t="s">
        <v>733</v>
      </c>
      <c r="C4" s="464" t="s">
        <v>737</v>
      </c>
      <c r="D4" s="464"/>
      <c r="E4" s="464"/>
      <c r="F4" s="464"/>
      <c r="G4" s="464"/>
      <c r="H4" s="464"/>
    </row>
    <row r="5" spans="2:8" x14ac:dyDescent="0.3">
      <c r="B5" s="4" t="s">
        <v>628</v>
      </c>
      <c r="C5" s="464" t="s">
        <v>737</v>
      </c>
      <c r="D5" s="464"/>
      <c r="E5" s="464"/>
      <c r="F5" s="464"/>
      <c r="G5" s="464"/>
      <c r="H5" s="464"/>
    </row>
    <row r="6" spans="2:8" x14ac:dyDescent="0.3">
      <c r="B6" s="4" t="s">
        <v>734</v>
      </c>
      <c r="C6" s="464" t="s">
        <v>737</v>
      </c>
      <c r="D6" s="464" t="s">
        <v>737</v>
      </c>
      <c r="E6" s="464" t="s">
        <v>737</v>
      </c>
      <c r="F6" s="464" t="s">
        <v>737</v>
      </c>
      <c r="G6" s="464" t="s">
        <v>737</v>
      </c>
      <c r="H6" s="464" t="s">
        <v>737</v>
      </c>
    </row>
    <row r="7" spans="2:8" x14ac:dyDescent="0.3">
      <c r="B7" s="4" t="s">
        <v>735</v>
      </c>
      <c r="C7" s="464" t="s">
        <v>737</v>
      </c>
      <c r="D7" s="464" t="s">
        <v>737</v>
      </c>
      <c r="E7" s="464" t="s">
        <v>737</v>
      </c>
      <c r="F7" s="464" t="s">
        <v>737</v>
      </c>
      <c r="G7" s="464" t="s">
        <v>737</v>
      </c>
      <c r="H7" s="464" t="s">
        <v>737</v>
      </c>
    </row>
    <row r="8" spans="2:8" x14ac:dyDescent="0.3">
      <c r="B8" s="4" t="s">
        <v>736</v>
      </c>
      <c r="C8" s="464"/>
      <c r="D8" s="464"/>
      <c r="E8" s="464"/>
      <c r="F8" s="464"/>
      <c r="G8" s="464"/>
      <c r="H8" s="464"/>
    </row>
    <row r="9" spans="2:8" x14ac:dyDescent="0.3">
      <c r="B9" s="5" t="s">
        <v>667</v>
      </c>
      <c r="C9" s="464" t="s">
        <v>737</v>
      </c>
      <c r="D9" s="464"/>
      <c r="E9" s="464"/>
      <c r="F9" s="464"/>
      <c r="G9" s="464"/>
      <c r="H9" s="464"/>
    </row>
    <row r="10" spans="2:8" x14ac:dyDescent="0.3">
      <c r="B10" s="5" t="s">
        <v>668</v>
      </c>
      <c r="C10" s="464" t="s">
        <v>737</v>
      </c>
      <c r="D10" s="464" t="s">
        <v>737</v>
      </c>
      <c r="E10" s="464" t="s">
        <v>737</v>
      </c>
      <c r="F10" s="464" t="s">
        <v>737</v>
      </c>
      <c r="G10" s="464" t="s">
        <v>737</v>
      </c>
      <c r="H10" s="464" t="s">
        <v>737</v>
      </c>
    </row>
    <row r="11" spans="2:8" x14ac:dyDescent="0.3">
      <c r="B11" s="5" t="s">
        <v>669</v>
      </c>
      <c r="C11" s="464" t="s">
        <v>737</v>
      </c>
      <c r="D11" s="464" t="s">
        <v>91</v>
      </c>
      <c r="E11" s="464" t="s">
        <v>91</v>
      </c>
      <c r="F11" s="464"/>
      <c r="G11" s="464"/>
      <c r="H11" s="464"/>
    </row>
    <row r="12" spans="2:8" x14ac:dyDescent="0.3">
      <c r="B12" s="5" t="s">
        <v>670</v>
      </c>
      <c r="C12" s="464" t="s">
        <v>737</v>
      </c>
      <c r="D12" s="464" t="s">
        <v>737</v>
      </c>
      <c r="E12" s="464" t="s">
        <v>737</v>
      </c>
      <c r="F12" s="464"/>
      <c r="G12" s="464"/>
      <c r="H12" s="464"/>
    </row>
    <row r="13" spans="2:8" x14ac:dyDescent="0.3">
      <c r="B13" s="5" t="s">
        <v>671</v>
      </c>
      <c r="C13" s="464"/>
      <c r="D13" s="464"/>
      <c r="E13" s="464" t="s">
        <v>737</v>
      </c>
      <c r="F13" s="464" t="s">
        <v>737</v>
      </c>
      <c r="G13" s="464" t="s">
        <v>737</v>
      </c>
      <c r="H13" s="464" t="s">
        <v>737</v>
      </c>
    </row>
    <row r="14" spans="2:8" x14ac:dyDescent="0.3">
      <c r="B14" s="5" t="s">
        <v>672</v>
      </c>
      <c r="C14" s="464"/>
      <c r="D14" s="464" t="s">
        <v>737</v>
      </c>
      <c r="E14" s="464" t="s">
        <v>737</v>
      </c>
      <c r="F14" s="464" t="s">
        <v>737</v>
      </c>
      <c r="G14" s="464" t="s">
        <v>737</v>
      </c>
      <c r="H14" s="464" t="s">
        <v>737</v>
      </c>
    </row>
    <row r="15" spans="2:8" x14ac:dyDescent="0.3">
      <c r="B15" s="5" t="s">
        <v>673</v>
      </c>
      <c r="C15" s="464" t="s">
        <v>737</v>
      </c>
      <c r="D15" s="464" t="s">
        <v>737</v>
      </c>
      <c r="E15" s="464" t="s">
        <v>737</v>
      </c>
      <c r="F15" s="464" t="s">
        <v>737</v>
      </c>
      <c r="G15" s="464" t="s">
        <v>737</v>
      </c>
      <c r="H15" s="464" t="s">
        <v>737</v>
      </c>
    </row>
    <row r="16" spans="2:8" x14ac:dyDescent="0.3">
      <c r="B16" s="4" t="s">
        <v>674</v>
      </c>
      <c r="C16" s="464"/>
      <c r="D16" s="464"/>
      <c r="E16" s="464"/>
      <c r="F16" s="464"/>
      <c r="G16" s="464"/>
      <c r="H16" s="464"/>
    </row>
    <row r="17" spans="2:8" x14ac:dyDescent="0.3">
      <c r="B17" s="5" t="s">
        <v>675</v>
      </c>
      <c r="C17" s="140" t="s">
        <v>91</v>
      </c>
      <c r="D17" s="140"/>
      <c r="E17" s="140"/>
      <c r="F17" s="140"/>
      <c r="G17" s="140"/>
      <c r="H17" s="464"/>
    </row>
    <row r="18" spans="2:8" x14ac:dyDescent="0.3">
      <c r="B18" s="5" t="s">
        <v>738</v>
      </c>
      <c r="C18" s="140" t="s">
        <v>91</v>
      </c>
      <c r="D18" s="140"/>
      <c r="E18" s="140"/>
      <c r="F18" s="140"/>
      <c r="G18" s="140"/>
      <c r="H18" s="464"/>
    </row>
    <row r="19" spans="2:8" x14ac:dyDescent="0.3">
      <c r="B19" s="5" t="s">
        <v>739</v>
      </c>
      <c r="C19" s="140" t="s">
        <v>91</v>
      </c>
      <c r="D19" s="140" t="s">
        <v>91</v>
      </c>
      <c r="E19" s="140" t="s">
        <v>91</v>
      </c>
      <c r="F19" s="140" t="s">
        <v>91</v>
      </c>
      <c r="G19" s="140" t="s">
        <v>91</v>
      </c>
      <c r="H19" s="464" t="s">
        <v>91</v>
      </c>
    </row>
    <row r="20" spans="2:8" x14ac:dyDescent="0.3">
      <c r="B20" s="5" t="s">
        <v>740</v>
      </c>
      <c r="C20" s="140" t="s">
        <v>91</v>
      </c>
      <c r="D20" s="140" t="s">
        <v>91</v>
      </c>
      <c r="E20" s="140" t="s">
        <v>91</v>
      </c>
      <c r="F20" s="140" t="s">
        <v>91</v>
      </c>
      <c r="G20" s="140" t="s">
        <v>91</v>
      </c>
      <c r="H20" s="464" t="s">
        <v>91</v>
      </c>
    </row>
    <row r="21" spans="2:8" x14ac:dyDescent="0.3">
      <c r="B21" s="4" t="s">
        <v>676</v>
      </c>
      <c r="C21" s="464"/>
      <c r="D21" s="464"/>
      <c r="E21" s="464"/>
      <c r="F21" s="464"/>
      <c r="G21" s="464"/>
      <c r="H21" s="464"/>
    </row>
    <row r="22" spans="2:8" x14ac:dyDescent="0.3">
      <c r="B22" s="5" t="s">
        <v>677</v>
      </c>
      <c r="C22" s="464"/>
      <c r="D22" s="464" t="s">
        <v>737</v>
      </c>
      <c r="E22" s="464"/>
      <c r="F22" s="464"/>
      <c r="G22" s="464"/>
      <c r="H22" s="464"/>
    </row>
    <row r="23" spans="2:8" x14ac:dyDescent="0.3">
      <c r="B23" s="5" t="s">
        <v>680</v>
      </c>
      <c r="C23" s="464"/>
      <c r="D23" s="464"/>
      <c r="E23" s="464"/>
      <c r="F23" s="464" t="s">
        <v>737</v>
      </c>
      <c r="G23" s="464"/>
      <c r="H23" s="464"/>
    </row>
    <row r="24" spans="2:8" x14ac:dyDescent="0.3">
      <c r="B24" s="5" t="s">
        <v>678</v>
      </c>
      <c r="C24" s="464"/>
      <c r="D24" s="464"/>
      <c r="E24" s="464"/>
      <c r="F24" s="464" t="s">
        <v>737</v>
      </c>
      <c r="G24" s="464"/>
      <c r="H24" s="464"/>
    </row>
    <row r="25" spans="2:8" x14ac:dyDescent="0.3">
      <c r="B25" s="4" t="s">
        <v>681</v>
      </c>
      <c r="C25" s="464"/>
      <c r="D25" s="464"/>
      <c r="E25" s="464"/>
      <c r="F25" s="464"/>
      <c r="G25" s="464"/>
      <c r="H25" s="464"/>
    </row>
    <row r="26" spans="2:8" x14ac:dyDescent="0.3">
      <c r="B26" s="5" t="s">
        <v>691</v>
      </c>
      <c r="C26" s="140"/>
      <c r="D26" s="140" t="s">
        <v>91</v>
      </c>
      <c r="E26" s="140"/>
      <c r="F26" s="140"/>
      <c r="G26" s="140"/>
      <c r="H26" s="464"/>
    </row>
    <row r="27" spans="2:8" x14ac:dyDescent="0.3">
      <c r="B27" s="5" t="s">
        <v>682</v>
      </c>
      <c r="C27" s="140"/>
      <c r="D27" s="140" t="s">
        <v>91</v>
      </c>
      <c r="E27" s="140"/>
      <c r="F27" s="140"/>
      <c r="G27" s="140"/>
      <c r="H27" s="464"/>
    </row>
    <row r="28" spans="2:8" x14ac:dyDescent="0.3">
      <c r="B28" s="5" t="s">
        <v>683</v>
      </c>
      <c r="C28" s="140"/>
      <c r="D28" s="140" t="s">
        <v>91</v>
      </c>
      <c r="E28" s="140"/>
      <c r="F28" s="140"/>
      <c r="G28" s="140"/>
      <c r="H28" s="464"/>
    </row>
    <row r="29" spans="2:8" x14ac:dyDescent="0.3">
      <c r="B29" s="5" t="s">
        <v>684</v>
      </c>
      <c r="C29" s="140"/>
      <c r="D29" s="140" t="s">
        <v>91</v>
      </c>
      <c r="E29" s="140" t="s">
        <v>91</v>
      </c>
      <c r="F29" s="140" t="s">
        <v>91</v>
      </c>
      <c r="G29" s="140" t="s">
        <v>91</v>
      </c>
      <c r="H29" s="464"/>
    </row>
    <row r="30" spans="2:8" x14ac:dyDescent="0.3">
      <c r="B30" s="5" t="s">
        <v>687</v>
      </c>
      <c r="C30" s="140" t="s">
        <v>91</v>
      </c>
      <c r="D30" s="140" t="s">
        <v>91</v>
      </c>
      <c r="E30" s="140" t="s">
        <v>91</v>
      </c>
      <c r="F30" s="140" t="s">
        <v>91</v>
      </c>
      <c r="G30" s="140" t="s">
        <v>91</v>
      </c>
      <c r="H30" s="464" t="s">
        <v>91</v>
      </c>
    </row>
    <row r="31" spans="2:8" x14ac:dyDescent="0.3">
      <c r="B31" s="5" t="s">
        <v>688</v>
      </c>
      <c r="C31" s="140" t="s">
        <v>91</v>
      </c>
      <c r="D31" s="140" t="s">
        <v>91</v>
      </c>
      <c r="E31" s="140" t="s">
        <v>91</v>
      </c>
      <c r="F31" s="140" t="s">
        <v>91</v>
      </c>
      <c r="G31" s="140" t="s">
        <v>91</v>
      </c>
      <c r="H31" s="464" t="s">
        <v>91</v>
      </c>
    </row>
    <row r="32" spans="2:8" x14ac:dyDescent="0.3">
      <c r="B32" s="5" t="s">
        <v>673</v>
      </c>
      <c r="C32" s="140" t="s">
        <v>91</v>
      </c>
      <c r="D32" s="140" t="s">
        <v>91</v>
      </c>
      <c r="E32" s="140" t="s">
        <v>91</v>
      </c>
      <c r="F32" s="140" t="s">
        <v>91</v>
      </c>
      <c r="G32" s="140" t="s">
        <v>91</v>
      </c>
      <c r="H32" s="464" t="s">
        <v>91</v>
      </c>
    </row>
    <row r="33" spans="2:8" x14ac:dyDescent="0.3">
      <c r="B33" s="4" t="s">
        <v>629</v>
      </c>
      <c r="C33" s="140" t="s">
        <v>91</v>
      </c>
      <c r="D33" s="140" t="s">
        <v>91</v>
      </c>
      <c r="E33" s="140" t="s">
        <v>91</v>
      </c>
      <c r="F33" s="140" t="s">
        <v>91</v>
      </c>
      <c r="G33" s="140" t="s">
        <v>91</v>
      </c>
      <c r="H33" s="464" t="s">
        <v>91</v>
      </c>
    </row>
  </sheetData>
  <mergeCells count="1">
    <mergeCell ref="C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selection activeCell="C14" sqref="C14"/>
    </sheetView>
  </sheetViews>
  <sheetFormatPr defaultColWidth="11.44140625" defaultRowHeight="14.4" x14ac:dyDescent="0.3"/>
  <cols>
    <col min="1" max="1" width="16.6640625" bestFit="1" customWidth="1"/>
    <col min="2" max="2" width="13.88671875" bestFit="1" customWidth="1"/>
    <col min="3" max="3" width="13.33203125" bestFit="1" customWidth="1"/>
    <col min="4" max="8" width="11.44140625" customWidth="1"/>
    <col min="9" max="9" width="27.109375" customWidth="1"/>
    <col min="10" max="10" width="13.88671875" bestFit="1" customWidth="1"/>
  </cols>
  <sheetData>
    <row r="1" spans="1:14" s="441" customFormat="1" ht="29.1" customHeight="1" x14ac:dyDescent="0.3">
      <c r="A1" s="441" t="s">
        <v>630</v>
      </c>
      <c r="I1" s="441" t="s">
        <v>632</v>
      </c>
    </row>
    <row r="2" spans="1:14" ht="29.1" customHeight="1" x14ac:dyDescent="0.3">
      <c r="A2" s="697" t="s">
        <v>622</v>
      </c>
      <c r="B2" s="698"/>
      <c r="C2" s="695" t="s">
        <v>533</v>
      </c>
      <c r="D2" s="695"/>
      <c r="E2" s="695" t="s">
        <v>294</v>
      </c>
      <c r="F2" s="695"/>
      <c r="I2" s="697" t="s">
        <v>622</v>
      </c>
      <c r="J2" s="698"/>
      <c r="K2" s="695" t="s">
        <v>533</v>
      </c>
      <c r="L2" s="695"/>
      <c r="M2" s="695" t="s">
        <v>294</v>
      </c>
      <c r="N2" s="695"/>
    </row>
    <row r="3" spans="1:14" ht="29.1" customHeight="1" x14ac:dyDescent="0.3">
      <c r="A3" s="699"/>
      <c r="B3" s="700"/>
      <c r="C3" s="428" t="s">
        <v>340</v>
      </c>
      <c r="D3" s="428" t="s">
        <v>341</v>
      </c>
      <c r="E3" s="428" t="s">
        <v>340</v>
      </c>
      <c r="F3" s="428" t="s">
        <v>341</v>
      </c>
      <c r="I3" s="699"/>
      <c r="J3" s="700"/>
      <c r="K3" s="428" t="s">
        <v>340</v>
      </c>
      <c r="L3" s="428" t="s">
        <v>341</v>
      </c>
      <c r="M3" s="428" t="s">
        <v>340</v>
      </c>
      <c r="N3" s="428" t="s">
        <v>341</v>
      </c>
    </row>
    <row r="4" spans="1:14" ht="29.1" customHeight="1" x14ac:dyDescent="0.3">
      <c r="A4" s="696" t="s">
        <v>623</v>
      </c>
      <c r="B4" s="696"/>
      <c r="C4" s="429">
        <f>'Public Education'!B11</f>
        <v>11200</v>
      </c>
      <c r="D4" s="430">
        <f>'Public Education'!C11</f>
        <v>73800</v>
      </c>
      <c r="E4" s="439">
        <f>'Public Education'!D11</f>
        <v>112</v>
      </c>
      <c r="F4" s="439">
        <f>'Public Education'!E11</f>
        <v>730</v>
      </c>
      <c r="I4" s="696" t="s">
        <v>623</v>
      </c>
      <c r="J4" s="696"/>
      <c r="K4" s="429">
        <f>ROUND((C4/5),3-(INT(LOG((C4/5))+1)))</f>
        <v>2240</v>
      </c>
      <c r="L4" s="429">
        <f t="shared" ref="L4:N15" si="0">ROUND((D4/5),3-(INT(LOG((D4/5))+1)))</f>
        <v>14800</v>
      </c>
      <c r="M4" s="442">
        <f t="shared" si="0"/>
        <v>22.4</v>
      </c>
      <c r="N4" s="442">
        <f t="shared" si="0"/>
        <v>146</v>
      </c>
    </row>
    <row r="5" spans="1:14" ht="29.1" customHeight="1" x14ac:dyDescent="0.3">
      <c r="A5" s="696" t="s">
        <v>624</v>
      </c>
      <c r="B5" s="696"/>
      <c r="C5" s="431">
        <f>'Public Participation'!B9</f>
        <v>9000</v>
      </c>
      <c r="D5" s="430">
        <f>'Public Participation'!C9</f>
        <v>17000</v>
      </c>
      <c r="E5" s="439">
        <f>'Public Participation'!D9</f>
        <v>80</v>
      </c>
      <c r="F5" s="439">
        <f>'Public Participation'!E9</f>
        <v>150</v>
      </c>
      <c r="I5" s="696" t="s">
        <v>624</v>
      </c>
      <c r="J5" s="696"/>
      <c r="K5" s="429">
        <f t="shared" ref="K5:K15" si="1">ROUND((C5/5),3-(INT(LOG((C5/5))+1)))</f>
        <v>1800</v>
      </c>
      <c r="L5" s="429">
        <f t="shared" si="0"/>
        <v>3400</v>
      </c>
      <c r="M5" s="442">
        <f t="shared" si="0"/>
        <v>16</v>
      </c>
      <c r="N5" s="442">
        <f t="shared" si="0"/>
        <v>30</v>
      </c>
    </row>
    <row r="6" spans="1:14" ht="29.1" customHeight="1" x14ac:dyDescent="0.3">
      <c r="A6" s="696" t="s">
        <v>323</v>
      </c>
      <c r="B6" s="432" t="s">
        <v>625</v>
      </c>
      <c r="C6" s="431">
        <f>'Good Housekeeping'!B20</f>
        <v>176000</v>
      </c>
      <c r="D6" s="430">
        <f>'Good Housekeeping'!C20</f>
        <v>290000</v>
      </c>
      <c r="E6" s="440">
        <f>'Good Housekeeping'!D20</f>
        <v>737</v>
      </c>
      <c r="F6" s="440">
        <f>'Good Housekeeping'!E20</f>
        <v>1080</v>
      </c>
      <c r="I6" s="696" t="s">
        <v>323</v>
      </c>
      <c r="J6" s="432" t="s">
        <v>625</v>
      </c>
      <c r="K6" s="429">
        <f t="shared" si="1"/>
        <v>35200</v>
      </c>
      <c r="L6" s="429">
        <f t="shared" si="0"/>
        <v>58000</v>
      </c>
      <c r="M6" s="442">
        <f t="shared" si="0"/>
        <v>147</v>
      </c>
      <c r="N6" s="442">
        <f t="shared" si="0"/>
        <v>216</v>
      </c>
    </row>
    <row r="7" spans="1:14" ht="29.1" customHeight="1" x14ac:dyDescent="0.3">
      <c r="A7" s="696"/>
      <c r="B7" s="432" t="s">
        <v>626</v>
      </c>
      <c r="C7" s="433">
        <f>'Good Housekeeping'!B29</f>
        <v>404000</v>
      </c>
      <c r="D7" s="434">
        <f>'Good Housekeeping'!C29</f>
        <v>816000</v>
      </c>
      <c r="E7" s="440">
        <f>'Good Housekeeping'!D29</f>
        <v>737</v>
      </c>
      <c r="F7" s="440">
        <f>'Good Housekeeping'!E20</f>
        <v>1080</v>
      </c>
      <c r="I7" s="696"/>
      <c r="J7" s="432" t="s">
        <v>626</v>
      </c>
      <c r="K7" s="429">
        <f t="shared" si="1"/>
        <v>80800</v>
      </c>
      <c r="L7" s="429">
        <f t="shared" si="0"/>
        <v>163000</v>
      </c>
      <c r="M7" s="442">
        <f t="shared" si="0"/>
        <v>147</v>
      </c>
      <c r="N7" s="442">
        <f t="shared" si="0"/>
        <v>216</v>
      </c>
    </row>
    <row r="8" spans="1:14" ht="29.1" customHeight="1" x14ac:dyDescent="0.3">
      <c r="A8" s="696" t="s">
        <v>627</v>
      </c>
      <c r="B8" s="696"/>
      <c r="C8" s="435">
        <f>NOI!B9</f>
        <v>5000</v>
      </c>
      <c r="D8" s="435">
        <f>NOI!C9</f>
        <v>11200</v>
      </c>
      <c r="E8" s="440">
        <f>NOI!D9</f>
        <v>50</v>
      </c>
      <c r="F8" s="440">
        <f>NOI!E9</f>
        <v>112</v>
      </c>
      <c r="I8" s="696" t="s">
        <v>627</v>
      </c>
      <c r="J8" s="696"/>
      <c r="K8" s="429">
        <f t="shared" si="1"/>
        <v>1000</v>
      </c>
      <c r="L8" s="429">
        <f t="shared" si="0"/>
        <v>2240</v>
      </c>
      <c r="M8" s="442">
        <f t="shared" si="0"/>
        <v>10</v>
      </c>
      <c r="N8" s="442">
        <f t="shared" si="0"/>
        <v>22.4</v>
      </c>
    </row>
    <row r="9" spans="1:14" ht="29.1" customHeight="1" x14ac:dyDescent="0.3">
      <c r="A9" s="696" t="s">
        <v>628</v>
      </c>
      <c r="B9" s="696"/>
      <c r="C9" s="435">
        <f>SWMP!B10</f>
        <v>12800</v>
      </c>
      <c r="D9" s="435">
        <f>SWMP!C10</f>
        <v>20400</v>
      </c>
      <c r="E9" s="440">
        <f>SWMP!D10</f>
        <v>128</v>
      </c>
      <c r="F9" s="440">
        <f>SWMP!E10</f>
        <v>204</v>
      </c>
      <c r="I9" s="696" t="s">
        <v>628</v>
      </c>
      <c r="J9" s="696"/>
      <c r="K9" s="429">
        <f t="shared" si="1"/>
        <v>2560</v>
      </c>
      <c r="L9" s="429">
        <f t="shared" si="0"/>
        <v>4080</v>
      </c>
      <c r="M9" s="442">
        <f t="shared" si="0"/>
        <v>25.6</v>
      </c>
      <c r="N9" s="442">
        <f t="shared" si="0"/>
        <v>40.799999999999997</v>
      </c>
    </row>
    <row r="10" spans="1:14" ht="29.1" customHeight="1" x14ac:dyDescent="0.3">
      <c r="A10" s="696" t="s">
        <v>313</v>
      </c>
      <c r="B10" s="696"/>
      <c r="C10" s="435">
        <f>IDDE!B22</f>
        <v>48500</v>
      </c>
      <c r="D10" s="435">
        <f>IDDE!C22</f>
        <v>138000</v>
      </c>
      <c r="E10" s="440">
        <f>IDDE!D22</f>
        <v>460</v>
      </c>
      <c r="F10" s="440">
        <f>IDDE!E22</f>
        <v>1330</v>
      </c>
      <c r="I10" s="696" t="s">
        <v>313</v>
      </c>
      <c r="J10" s="696"/>
      <c r="K10" s="429">
        <f t="shared" si="1"/>
        <v>9700</v>
      </c>
      <c r="L10" s="429">
        <f t="shared" si="0"/>
        <v>27600</v>
      </c>
      <c r="M10" s="442">
        <f t="shared" si="0"/>
        <v>92</v>
      </c>
      <c r="N10" s="442">
        <f t="shared" si="0"/>
        <v>266</v>
      </c>
    </row>
    <row r="11" spans="1:14" ht="29.1" customHeight="1" x14ac:dyDescent="0.3">
      <c r="A11" s="696" t="s">
        <v>317</v>
      </c>
      <c r="B11" s="696"/>
      <c r="C11" s="435">
        <f>'Construction Site Control'!B11</f>
        <v>4200</v>
      </c>
      <c r="D11" s="435">
        <f>'Construction Site Control'!C11</f>
        <v>21600</v>
      </c>
      <c r="E11" s="440">
        <f>'Construction Site Control'!D11</f>
        <v>32</v>
      </c>
      <c r="F11" s="440">
        <f>'Construction Site Control'!E11</f>
        <v>96</v>
      </c>
      <c r="I11" s="696" t="s">
        <v>317</v>
      </c>
      <c r="J11" s="696"/>
      <c r="K11" s="429">
        <f t="shared" si="1"/>
        <v>840</v>
      </c>
      <c r="L11" s="429">
        <f t="shared" si="0"/>
        <v>4320</v>
      </c>
      <c r="M11" s="442">
        <f t="shared" si="0"/>
        <v>6.4</v>
      </c>
      <c r="N11" s="442">
        <f t="shared" si="0"/>
        <v>19.2</v>
      </c>
    </row>
    <row r="12" spans="1:14" ht="29.1" customHeight="1" x14ac:dyDescent="0.3">
      <c r="A12" s="696" t="s">
        <v>318</v>
      </c>
      <c r="B12" s="696"/>
      <c r="C12" s="435">
        <f>'Post Construction Site Control'!B10</f>
        <v>65200</v>
      </c>
      <c r="D12" s="435">
        <f>'Post Construction Site Control'!C10</f>
        <v>82400</v>
      </c>
      <c r="E12" s="440">
        <f>'Post Construction Site Control'!D10</f>
        <v>622</v>
      </c>
      <c r="F12" s="440">
        <f>'Post Construction Site Control'!E10</f>
        <v>764</v>
      </c>
      <c r="I12" s="696" t="s">
        <v>318</v>
      </c>
      <c r="J12" s="696"/>
      <c r="K12" s="429">
        <f t="shared" si="1"/>
        <v>13000</v>
      </c>
      <c r="L12" s="429">
        <f t="shared" si="0"/>
        <v>16500</v>
      </c>
      <c r="M12" s="442">
        <f t="shared" si="0"/>
        <v>124</v>
      </c>
      <c r="N12" s="442">
        <f t="shared" si="0"/>
        <v>153</v>
      </c>
    </row>
    <row r="13" spans="1:14" ht="29.1" customHeight="1" x14ac:dyDescent="0.3">
      <c r="A13" s="696" t="s">
        <v>629</v>
      </c>
      <c r="B13" s="696"/>
      <c r="C13" s="435">
        <f>'Annual Report'!B9</f>
        <v>25300</v>
      </c>
      <c r="D13" s="435">
        <f>'Annual Report'!C9</f>
        <v>51600</v>
      </c>
      <c r="E13" s="440">
        <f>'Annual Report'!D9</f>
        <v>253</v>
      </c>
      <c r="F13" s="440">
        <f>'Annual Report'!E9</f>
        <v>516</v>
      </c>
      <c r="I13" s="696" t="s">
        <v>629</v>
      </c>
      <c r="J13" s="696"/>
      <c r="K13" s="429">
        <f t="shared" si="1"/>
        <v>5060</v>
      </c>
      <c r="L13" s="429">
        <f t="shared" si="0"/>
        <v>10300</v>
      </c>
      <c r="M13" s="442">
        <f t="shared" si="0"/>
        <v>50.6</v>
      </c>
      <c r="N13" s="442">
        <f t="shared" si="0"/>
        <v>103</v>
      </c>
    </row>
    <row r="14" spans="1:14" ht="29.1" customHeight="1" x14ac:dyDescent="0.3">
      <c r="A14" s="701" t="s">
        <v>532</v>
      </c>
      <c r="B14" s="436" t="s">
        <v>625</v>
      </c>
      <c r="C14" s="437">
        <f>ROUND((SUM(C4:C13)-C7),3-(INT(LOG((SUM(C4:C13)-C7))+1)))</f>
        <v>357000</v>
      </c>
      <c r="D14" s="437">
        <f>ROUND((SUM(D4:D13)-D7),3-(INT(LOG((SUM(D4:D13)-D7))+1)))</f>
        <v>706000</v>
      </c>
      <c r="E14" s="438">
        <f>ROUND((SUM(E4:E13)-E7),3-(INT(LOG((SUM(E4:E13)-E7))+1)))</f>
        <v>2470</v>
      </c>
      <c r="F14" s="438">
        <f>ROUND((SUM(F4:F13)-F7),3-(INT(LOG((SUM(F4:F13)-F7))+1)))</f>
        <v>4980</v>
      </c>
      <c r="I14" s="701" t="s">
        <v>532</v>
      </c>
      <c r="J14" s="436" t="s">
        <v>625</v>
      </c>
      <c r="K14" s="444">
        <f t="shared" si="1"/>
        <v>71400</v>
      </c>
      <c r="L14" s="444">
        <f t="shared" si="0"/>
        <v>141000</v>
      </c>
      <c r="M14" s="445">
        <f t="shared" si="0"/>
        <v>494</v>
      </c>
      <c r="N14" s="445">
        <f t="shared" si="0"/>
        <v>996</v>
      </c>
    </row>
    <row r="15" spans="1:14" ht="29.1" customHeight="1" x14ac:dyDescent="0.3">
      <c r="A15" s="702"/>
      <c r="B15" s="436" t="s">
        <v>626</v>
      </c>
      <c r="C15" s="437">
        <f>ROUND((SUM(C4:C13)-C6),3-(INT(LOG((SUM(C4:C13)-C6))+1)))</f>
        <v>585000</v>
      </c>
      <c r="D15" s="437">
        <f>ROUND((SUM(D4:D13)-D6),3-(INT(LOG((SUM(D4:D13)-D6))+1)))</f>
        <v>1230000</v>
      </c>
      <c r="E15" s="438">
        <f>ROUND((SUM(E4:E13)-E6),3-(INT(LOG((SUM(E4:E13)-E6))+1)))</f>
        <v>2470</v>
      </c>
      <c r="F15" s="438">
        <f>ROUND((SUM(F4:F13)-F6),3-(INT(LOG((SUM(F4:F13)-F6))+1)))</f>
        <v>4980</v>
      </c>
      <c r="I15" s="702"/>
      <c r="J15" s="436" t="s">
        <v>626</v>
      </c>
      <c r="K15" s="444">
        <f t="shared" si="1"/>
        <v>117000</v>
      </c>
      <c r="L15" s="444">
        <f t="shared" si="0"/>
        <v>246000</v>
      </c>
      <c r="M15" s="445">
        <f t="shared" si="0"/>
        <v>494</v>
      </c>
      <c r="N15" s="445">
        <f t="shared" si="0"/>
        <v>996</v>
      </c>
    </row>
    <row r="18" spans="3:3" x14ac:dyDescent="0.3">
      <c r="C18" s="6"/>
    </row>
  </sheetData>
  <mergeCells count="26">
    <mergeCell ref="I14:I15"/>
    <mergeCell ref="A13:B13"/>
    <mergeCell ref="A14:A15"/>
    <mergeCell ref="A11:B11"/>
    <mergeCell ref="A12:B12"/>
    <mergeCell ref="I11:J11"/>
    <mergeCell ref="I12:J12"/>
    <mergeCell ref="I13:J13"/>
    <mergeCell ref="I9:J9"/>
    <mergeCell ref="I10:J10"/>
    <mergeCell ref="I6:I7"/>
    <mergeCell ref="I8:J8"/>
    <mergeCell ref="A6:A7"/>
    <mergeCell ref="A8:B8"/>
    <mergeCell ref="A9:B9"/>
    <mergeCell ref="A10:B10"/>
    <mergeCell ref="K2:L2"/>
    <mergeCell ref="M2:N2"/>
    <mergeCell ref="I4:J4"/>
    <mergeCell ref="A4:B4"/>
    <mergeCell ref="A5:B5"/>
    <mergeCell ref="I5:J5"/>
    <mergeCell ref="A2:B3"/>
    <mergeCell ref="C2:D2"/>
    <mergeCell ref="E2:F2"/>
    <mergeCell ref="I2:J3"/>
  </mergeCells>
  <pageMargins left="0.75" right="0.75" top="1" bottom="1" header="0.5" footer="0.5"/>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52"/>
  <sheetViews>
    <sheetView topLeftCell="H15" zoomScale="115" zoomScaleNormal="115" workbookViewId="0">
      <selection activeCell="F20" sqref="F20:G20"/>
    </sheetView>
  </sheetViews>
  <sheetFormatPr defaultColWidth="8.88671875" defaultRowHeight="14.4" x14ac:dyDescent="0.3"/>
  <cols>
    <col min="1" max="1" width="10.44140625" bestFit="1" customWidth="1"/>
    <col min="2" max="2" width="10.44140625" customWidth="1"/>
    <col min="3" max="3" width="10.88671875" customWidth="1"/>
    <col min="4" max="4" width="12.33203125" customWidth="1"/>
    <col min="5" max="5" width="9.33203125" customWidth="1"/>
    <col min="6" max="6" width="4.109375" customWidth="1"/>
    <col min="7" max="7" width="56.33203125" customWidth="1"/>
    <col min="8" max="8" width="11.6640625" customWidth="1"/>
    <col min="9" max="9" width="14.33203125" customWidth="1"/>
    <col min="12" max="12" width="10.44140625" bestFit="1" customWidth="1"/>
    <col min="14" max="14" width="11.44140625" customWidth="1"/>
    <col min="18" max="18" width="10" customWidth="1"/>
    <col min="19" max="19" width="10.33203125" bestFit="1" customWidth="1"/>
    <col min="20" max="20" width="11.109375" bestFit="1" customWidth="1"/>
    <col min="23" max="23" width="50.88671875" customWidth="1"/>
    <col min="24" max="24" width="55.44140625" bestFit="1" customWidth="1"/>
  </cols>
  <sheetData>
    <row r="1" spans="1:24" s="47" customFormat="1" ht="21.9" customHeight="1" x14ac:dyDescent="0.3">
      <c r="A1" s="719" t="s">
        <v>531</v>
      </c>
      <c r="B1" s="720"/>
      <c r="C1" s="721"/>
    </row>
    <row r="2" spans="1:24" s="47" customFormat="1" ht="21.9" customHeight="1" x14ac:dyDescent="0.3">
      <c r="A2" s="727" t="s">
        <v>382</v>
      </c>
      <c r="B2" s="728"/>
      <c r="C2" s="69">
        <f>'Cover Sheet'!B8</f>
        <v>100</v>
      </c>
    </row>
    <row r="3" spans="1:24" s="47" customFormat="1" ht="21.9" customHeight="1" x14ac:dyDescent="0.3">
      <c r="A3" s="727" t="s">
        <v>519</v>
      </c>
      <c r="B3" s="728"/>
      <c r="C3" s="70">
        <f>'Cover Sheet'!B5</f>
        <v>6125</v>
      </c>
      <c r="D3" s="60"/>
    </row>
    <row r="4" spans="1:24" s="47" customFormat="1" ht="21.9" customHeight="1" x14ac:dyDescent="0.3">
      <c r="A4" s="725" t="s">
        <v>520</v>
      </c>
      <c r="B4" s="726"/>
      <c r="C4" s="71">
        <f>'Cover Sheet'!B6</f>
        <v>3025</v>
      </c>
      <c r="D4" s="60"/>
    </row>
    <row r="5" spans="1:24" ht="21.9" customHeight="1" x14ac:dyDescent="0.3">
      <c r="D5" s="3"/>
    </row>
    <row r="6" spans="1:24" ht="21.9" customHeight="1" x14ac:dyDescent="0.3">
      <c r="A6" s="72"/>
      <c r="B6" s="720" t="s">
        <v>533</v>
      </c>
      <c r="C6" s="720"/>
      <c r="D6" s="720" t="s">
        <v>294</v>
      </c>
      <c r="E6" s="721"/>
    </row>
    <row r="7" spans="1:24" ht="21.9" customHeight="1" x14ac:dyDescent="0.3">
      <c r="A7" s="102"/>
      <c r="B7" s="103" t="s">
        <v>340</v>
      </c>
      <c r="C7" s="103" t="s">
        <v>341</v>
      </c>
      <c r="D7" s="103" t="s">
        <v>340</v>
      </c>
      <c r="E7" s="104" t="s">
        <v>341</v>
      </c>
    </row>
    <row r="8" spans="1:24" ht="21.9" customHeight="1" x14ac:dyDescent="0.3">
      <c r="A8" s="85" t="s">
        <v>83</v>
      </c>
      <c r="B8" s="86">
        <f>ROUND(((N22+N26)*C2),3-(INT(LOG(((N22+N26)*C2))+1)))</f>
        <v>1400</v>
      </c>
      <c r="C8" s="87">
        <f>ROUND((((O24+O26)*C2)+Q24),3-(INT(LOG((((O24+O26)*C2)+Q24))+1)))</f>
        <v>9300</v>
      </c>
      <c r="D8" s="88">
        <f>ROUND((N22+N26),3-(INT(LOG((N22+N26))+1)))</f>
        <v>14</v>
      </c>
      <c r="E8" s="89">
        <f>ROUND((O24+O26),3-(INT(LOG((O24+O26))+1)))</f>
        <v>92</v>
      </c>
      <c r="G8" s="421"/>
    </row>
    <row r="9" spans="1:24" ht="21.9" customHeight="1" x14ac:dyDescent="0.3">
      <c r="A9" s="90" t="s">
        <v>534</v>
      </c>
      <c r="B9" s="91">
        <f>ROUND((J20*C2),3-(INT(LOG((J20*C2))+1)))</f>
        <v>2400</v>
      </c>
      <c r="C9" s="91">
        <f>ROUND((K20*C2),3-(INT(LOG((K20*C2))+1)))</f>
        <v>3000</v>
      </c>
      <c r="D9" s="92">
        <f>ROUND(J20,3-(INT(LOG(J20))+1))</f>
        <v>24</v>
      </c>
      <c r="E9" s="92">
        <f>ROUND(K20,3-(INT(LOG(K20))+1))</f>
        <v>30</v>
      </c>
    </row>
    <row r="10" spans="1:24" ht="21.9" customHeight="1" x14ac:dyDescent="0.3">
      <c r="A10" s="94" t="s">
        <v>82</v>
      </c>
      <c r="B10" s="95">
        <v>0</v>
      </c>
      <c r="C10" s="95">
        <f>0</f>
        <v>0</v>
      </c>
      <c r="D10" s="96">
        <v>0</v>
      </c>
      <c r="E10" s="97">
        <v>0</v>
      </c>
    </row>
    <row r="11" spans="1:24" ht="21.9" customHeight="1" x14ac:dyDescent="0.3">
      <c r="A11" s="98" t="s">
        <v>532</v>
      </c>
      <c r="B11" s="99">
        <f>S30</f>
        <v>11200</v>
      </c>
      <c r="C11" s="99">
        <f>T30</f>
        <v>73800</v>
      </c>
      <c r="D11" s="100">
        <f>U30</f>
        <v>112</v>
      </c>
      <c r="E11" s="101">
        <f>V30</f>
        <v>730</v>
      </c>
    </row>
    <row r="12" spans="1:24" x14ac:dyDescent="0.3">
      <c r="D12" s="3"/>
    </row>
    <row r="13" spans="1:24" ht="21.9" customHeight="1" x14ac:dyDescent="0.3">
      <c r="D13" s="3"/>
    </row>
    <row r="14" spans="1:24" x14ac:dyDescent="0.3">
      <c r="D14" s="3"/>
    </row>
    <row r="15" spans="1:24" x14ac:dyDescent="0.3">
      <c r="D15" s="3"/>
    </row>
    <row r="16" spans="1:24" ht="97.65" customHeight="1" x14ac:dyDescent="0.3">
      <c r="A16" s="748" t="s">
        <v>0</v>
      </c>
      <c r="B16" s="751" t="s">
        <v>49</v>
      </c>
      <c r="C16" s="736" t="s">
        <v>52</v>
      </c>
      <c r="D16" s="736" t="s">
        <v>136</v>
      </c>
      <c r="E16" s="736" t="s">
        <v>90</v>
      </c>
      <c r="F16" s="730" t="s">
        <v>395</v>
      </c>
      <c r="G16" s="731"/>
      <c r="H16" s="739" t="s">
        <v>1</v>
      </c>
      <c r="I16" s="714" t="s">
        <v>396</v>
      </c>
      <c r="J16" s="754" t="s">
        <v>551</v>
      </c>
      <c r="K16" s="755"/>
      <c r="L16" s="755"/>
      <c r="M16" s="756"/>
      <c r="N16" s="754" t="s">
        <v>552</v>
      </c>
      <c r="O16" s="755"/>
      <c r="P16" s="755"/>
      <c r="Q16" s="755"/>
      <c r="R16" s="756"/>
      <c r="S16" s="754" t="s">
        <v>553</v>
      </c>
      <c r="T16" s="755"/>
      <c r="U16" s="755"/>
      <c r="V16" s="756"/>
      <c r="W16" s="739" t="s">
        <v>78</v>
      </c>
      <c r="X16" s="742" t="s">
        <v>296</v>
      </c>
    </row>
    <row r="17" spans="1:25" ht="34.65" customHeight="1" x14ac:dyDescent="0.3">
      <c r="A17" s="749"/>
      <c r="B17" s="752"/>
      <c r="C17" s="737"/>
      <c r="D17" s="737"/>
      <c r="E17" s="737"/>
      <c r="F17" s="732"/>
      <c r="G17" s="733"/>
      <c r="H17" s="740"/>
      <c r="I17" s="715"/>
      <c r="J17" s="710" t="s">
        <v>294</v>
      </c>
      <c r="K17" s="711"/>
      <c r="L17" s="712" t="s">
        <v>554</v>
      </c>
      <c r="M17" s="713"/>
      <c r="N17" s="759" t="s">
        <v>357</v>
      </c>
      <c r="O17" s="760"/>
      <c r="P17" s="712" t="s">
        <v>554</v>
      </c>
      <c r="Q17" s="713"/>
      <c r="R17" s="761" t="s">
        <v>299</v>
      </c>
      <c r="S17" s="757" t="s">
        <v>362</v>
      </c>
      <c r="T17" s="758"/>
      <c r="U17" s="763" t="s">
        <v>525</v>
      </c>
      <c r="V17" s="764"/>
      <c r="W17" s="740"/>
      <c r="X17" s="743"/>
    </row>
    <row r="18" spans="1:25" ht="21.9" customHeight="1" x14ac:dyDescent="0.3">
      <c r="A18" s="750"/>
      <c r="B18" s="753"/>
      <c r="C18" s="738"/>
      <c r="D18" s="738"/>
      <c r="E18" s="738"/>
      <c r="F18" s="734"/>
      <c r="G18" s="735"/>
      <c r="H18" s="741"/>
      <c r="I18" s="716"/>
      <c r="J18" s="138" t="s">
        <v>340</v>
      </c>
      <c r="K18" s="138" t="s">
        <v>341</v>
      </c>
      <c r="L18" s="116" t="s">
        <v>340</v>
      </c>
      <c r="M18" s="116" t="s">
        <v>341</v>
      </c>
      <c r="N18" s="139" t="s">
        <v>340</v>
      </c>
      <c r="O18" s="139" t="s">
        <v>341</v>
      </c>
      <c r="P18" s="116" t="s">
        <v>340</v>
      </c>
      <c r="Q18" s="116" t="s">
        <v>341</v>
      </c>
      <c r="R18" s="762"/>
      <c r="S18" s="138" t="s">
        <v>340</v>
      </c>
      <c r="T18" s="138" t="s">
        <v>341</v>
      </c>
      <c r="U18" s="138" t="s">
        <v>340</v>
      </c>
      <c r="V18" s="138" t="s">
        <v>341</v>
      </c>
      <c r="W18" s="741"/>
      <c r="X18" s="744"/>
    </row>
    <row r="19" spans="1:25" ht="28.8" x14ac:dyDescent="0.3">
      <c r="A19" s="106">
        <v>1</v>
      </c>
      <c r="B19" s="73" t="s">
        <v>2</v>
      </c>
      <c r="C19" s="73"/>
      <c r="D19" s="74" t="s">
        <v>397</v>
      </c>
      <c r="E19" s="73"/>
      <c r="F19" s="722" t="s">
        <v>398</v>
      </c>
      <c r="G19" s="722"/>
      <c r="H19" s="73" t="s">
        <v>399</v>
      </c>
      <c r="I19" s="73"/>
      <c r="J19" s="73"/>
      <c r="K19" s="73"/>
      <c r="L19" s="73"/>
      <c r="M19" s="73"/>
      <c r="N19" s="73"/>
      <c r="O19" s="73"/>
      <c r="P19" s="73"/>
      <c r="Q19" s="73"/>
      <c r="R19" s="73"/>
      <c r="S19" s="73"/>
      <c r="T19" s="73"/>
      <c r="U19" s="73"/>
      <c r="V19" s="73"/>
      <c r="W19" s="73" t="s">
        <v>411</v>
      </c>
      <c r="X19" s="105"/>
    </row>
    <row r="20" spans="1:25" ht="51" customHeight="1" x14ac:dyDescent="0.3">
      <c r="A20" s="106">
        <f>A19+1</f>
        <v>2</v>
      </c>
      <c r="B20" s="73" t="s">
        <v>2</v>
      </c>
      <c r="C20" s="73" t="s">
        <v>79</v>
      </c>
      <c r="D20" s="75" t="s">
        <v>81</v>
      </c>
      <c r="E20" s="73"/>
      <c r="F20" s="729" t="s">
        <v>400</v>
      </c>
      <c r="G20" s="729"/>
      <c r="H20" s="73" t="s">
        <v>399</v>
      </c>
      <c r="I20" s="73"/>
      <c r="J20" s="73">
        <v>24</v>
      </c>
      <c r="K20" s="73">
        <v>30</v>
      </c>
      <c r="L20" s="73"/>
      <c r="M20" s="73"/>
      <c r="N20" s="73"/>
      <c r="O20" s="73"/>
      <c r="P20" s="73"/>
      <c r="Q20" s="73"/>
      <c r="R20" s="75">
        <v>1</v>
      </c>
      <c r="S20" s="76">
        <f>((J20*$C$2+L20)+((N20*$C$2+P20))*R20)</f>
        <v>2400</v>
      </c>
      <c r="T20" s="76">
        <f>K20*$C$2+M20+((O20*$C$2+Q20)*R20)</f>
        <v>3000</v>
      </c>
      <c r="U20" s="73">
        <f>J20</f>
        <v>24</v>
      </c>
      <c r="V20" s="73">
        <f>K20</f>
        <v>30</v>
      </c>
      <c r="W20" s="80" t="s">
        <v>555</v>
      </c>
      <c r="X20" s="105" t="s">
        <v>523</v>
      </c>
    </row>
    <row r="21" spans="1:25" ht="43.2" x14ac:dyDescent="0.3">
      <c r="A21" s="717">
        <v>2.1</v>
      </c>
      <c r="B21" s="706" t="s">
        <v>2</v>
      </c>
      <c r="C21" s="704" t="s">
        <v>401</v>
      </c>
      <c r="D21" s="724" t="s">
        <v>402</v>
      </c>
      <c r="E21" s="80"/>
      <c r="F21" s="723" t="s">
        <v>581</v>
      </c>
      <c r="G21" s="723"/>
      <c r="H21" s="706" t="s">
        <v>403</v>
      </c>
      <c r="I21" s="73" t="s">
        <v>404</v>
      </c>
      <c r="J21" s="73"/>
      <c r="K21" s="73"/>
      <c r="L21" s="73"/>
      <c r="M21" s="73"/>
      <c r="N21" s="73">
        <v>6</v>
      </c>
      <c r="O21" s="73">
        <v>8</v>
      </c>
      <c r="P21" s="78">
        <f>(C4*0.05)</f>
        <v>151.25</v>
      </c>
      <c r="Q21" s="78">
        <f>(C4*0.1)</f>
        <v>302.5</v>
      </c>
      <c r="R21" s="79">
        <v>1</v>
      </c>
      <c r="S21" s="76">
        <f>J21*$C$2+L21+((N21*$C$2+P21)*R21)</f>
        <v>751.25</v>
      </c>
      <c r="T21" s="76">
        <f>K21*$C$2+M21+((O21*$C$2+Q21)*R21)</f>
        <v>1102.5</v>
      </c>
      <c r="U21" s="73">
        <f t="shared" ref="U21:V24" si="0">N21*5</f>
        <v>30</v>
      </c>
      <c r="V21" s="73">
        <f t="shared" si="0"/>
        <v>40</v>
      </c>
      <c r="W21" s="80" t="s">
        <v>582</v>
      </c>
      <c r="X21" s="107" t="s">
        <v>524</v>
      </c>
    </row>
    <row r="22" spans="1:25" x14ac:dyDescent="0.3">
      <c r="A22" s="717"/>
      <c r="B22" s="706"/>
      <c r="C22" s="704"/>
      <c r="D22" s="724"/>
      <c r="E22" s="73"/>
      <c r="F22" s="723"/>
      <c r="G22" s="723"/>
      <c r="H22" s="706"/>
      <c r="I22" s="73" t="s">
        <v>405</v>
      </c>
      <c r="J22" s="73"/>
      <c r="K22" s="73"/>
      <c r="L22" s="73"/>
      <c r="M22" s="73"/>
      <c r="N22" s="73">
        <v>6</v>
      </c>
      <c r="O22" s="73">
        <v>8</v>
      </c>
      <c r="P22" s="73"/>
      <c r="Q22" s="73"/>
      <c r="R22" s="79">
        <v>1</v>
      </c>
      <c r="S22" s="76">
        <f>J22*$C$2+L22+((N22*$C$2+P22)*R22)</f>
        <v>600</v>
      </c>
      <c r="T22" s="76">
        <f>K22*$C$2+M22+((O22*$C$2+Q22)*R22)</f>
        <v>800</v>
      </c>
      <c r="U22" s="73">
        <f t="shared" si="0"/>
        <v>30</v>
      </c>
      <c r="V22" s="73">
        <f t="shared" si="0"/>
        <v>40</v>
      </c>
      <c r="W22" s="73" t="s">
        <v>577</v>
      </c>
      <c r="X22" s="105" t="s">
        <v>523</v>
      </c>
      <c r="Y22" s="421"/>
    </row>
    <row r="23" spans="1:25" ht="28.8" x14ac:dyDescent="0.3">
      <c r="A23" s="717"/>
      <c r="B23" s="706"/>
      <c r="C23" s="704"/>
      <c r="D23" s="724"/>
      <c r="E23" s="73"/>
      <c r="F23" s="723"/>
      <c r="G23" s="723"/>
      <c r="H23" s="706"/>
      <c r="I23" s="73" t="s">
        <v>406</v>
      </c>
      <c r="J23" s="73"/>
      <c r="K23" s="73"/>
      <c r="L23" s="78">
        <v>2500</v>
      </c>
      <c r="M23" s="78">
        <v>5000</v>
      </c>
      <c r="N23" s="73">
        <v>4</v>
      </c>
      <c r="O23" s="73">
        <v>8</v>
      </c>
      <c r="P23" s="73"/>
      <c r="Q23" s="73"/>
      <c r="R23" s="79">
        <v>1</v>
      </c>
      <c r="S23" s="76">
        <f>J23*$C$2+L23+((N23*$C$2+P23)*R23)</f>
        <v>2900</v>
      </c>
      <c r="T23" s="76">
        <f>K23*$C$2+M23+((O23*$C$2+Q23)*R23)</f>
        <v>5800</v>
      </c>
      <c r="U23" s="73">
        <f t="shared" si="0"/>
        <v>20</v>
      </c>
      <c r="V23" s="73">
        <f t="shared" si="0"/>
        <v>40</v>
      </c>
      <c r="W23" s="80" t="s">
        <v>578</v>
      </c>
      <c r="X23" s="105" t="s">
        <v>523</v>
      </c>
      <c r="Y23" s="421"/>
    </row>
    <row r="24" spans="1:25" ht="43.2" x14ac:dyDescent="0.3">
      <c r="A24" s="717"/>
      <c r="B24" s="706"/>
      <c r="C24" s="704"/>
      <c r="D24" s="724"/>
      <c r="E24" s="73"/>
      <c r="F24" s="723"/>
      <c r="G24" s="723"/>
      <c r="H24" s="706"/>
      <c r="I24" s="73" t="s">
        <v>407</v>
      </c>
      <c r="J24" s="73"/>
      <c r="K24" s="73"/>
      <c r="L24" s="73"/>
      <c r="M24" s="73"/>
      <c r="N24" s="73">
        <v>32</v>
      </c>
      <c r="O24" s="73">
        <v>80</v>
      </c>
      <c r="P24" s="78">
        <v>50</v>
      </c>
      <c r="Q24" s="78">
        <v>100</v>
      </c>
      <c r="R24" s="79">
        <v>1</v>
      </c>
      <c r="S24" s="76">
        <f>J24*$C$2+L24+((N24*$C$2+P24)*R24)</f>
        <v>3250</v>
      </c>
      <c r="T24" s="76">
        <f>K24*$C$2+M24+((O24*$C$2+Q24)*R24)</f>
        <v>8100</v>
      </c>
      <c r="U24" s="73">
        <f t="shared" si="0"/>
        <v>160</v>
      </c>
      <c r="V24" s="73">
        <f t="shared" si="0"/>
        <v>400</v>
      </c>
      <c r="W24" s="80" t="s">
        <v>579</v>
      </c>
      <c r="X24" s="105" t="s">
        <v>523</v>
      </c>
    </row>
    <row r="25" spans="1:25" s="65" customFormat="1" ht="57.6" x14ac:dyDescent="0.3">
      <c r="A25" s="745"/>
      <c r="B25" s="746"/>
      <c r="C25" s="746"/>
      <c r="D25" s="746"/>
      <c r="E25" s="746"/>
      <c r="F25" s="746"/>
      <c r="G25" s="746"/>
      <c r="H25" s="746"/>
      <c r="I25" s="746"/>
      <c r="J25" s="746"/>
      <c r="K25" s="746"/>
      <c r="L25" s="746"/>
      <c r="M25" s="746"/>
      <c r="N25" s="746"/>
      <c r="O25" s="746"/>
      <c r="P25" s="746"/>
      <c r="Q25" s="747"/>
      <c r="R25" s="81" t="s">
        <v>336</v>
      </c>
      <c r="S25" s="82">
        <f>S22*8</f>
        <v>4800</v>
      </c>
      <c r="T25" s="82">
        <f>T24*8</f>
        <v>64800</v>
      </c>
      <c r="U25" s="81">
        <f>N22*8</f>
        <v>48</v>
      </c>
      <c r="V25" s="81">
        <f>O24*8</f>
        <v>640</v>
      </c>
      <c r="W25" s="395" t="s">
        <v>580</v>
      </c>
      <c r="X25" s="118" t="s">
        <v>523</v>
      </c>
    </row>
    <row r="26" spans="1:25" ht="27.9" customHeight="1" x14ac:dyDescent="0.3">
      <c r="A26" s="106">
        <v>2.2000000000000002</v>
      </c>
      <c r="B26" s="73" t="s">
        <v>2</v>
      </c>
      <c r="C26" s="73"/>
      <c r="D26" s="79" t="s">
        <v>83</v>
      </c>
      <c r="E26" s="73"/>
      <c r="F26" s="723" t="s">
        <v>408</v>
      </c>
      <c r="G26" s="723"/>
      <c r="H26" s="73" t="s">
        <v>409</v>
      </c>
      <c r="I26" s="73"/>
      <c r="J26" s="73"/>
      <c r="K26" s="73"/>
      <c r="L26" s="73"/>
      <c r="M26" s="73"/>
      <c r="N26" s="73">
        <v>8</v>
      </c>
      <c r="O26" s="73">
        <v>12</v>
      </c>
      <c r="P26" s="73"/>
      <c r="Q26" s="73"/>
      <c r="R26" s="79">
        <v>5</v>
      </c>
      <c r="S26" s="76">
        <f>J26*$C$2+L26+((N26*$C$2+P26)*R26)</f>
        <v>4000</v>
      </c>
      <c r="T26" s="76">
        <f>K26*$C$2+M26+((O26*$C$2+Q26)*R26)</f>
        <v>6000</v>
      </c>
      <c r="U26" s="73">
        <f>N26*5</f>
        <v>40</v>
      </c>
      <c r="V26" s="73">
        <f>O26*5</f>
        <v>60</v>
      </c>
      <c r="W26" s="84" t="s">
        <v>412</v>
      </c>
      <c r="X26" s="105" t="s">
        <v>523</v>
      </c>
    </row>
    <row r="27" spans="1:25" ht="13.65" customHeight="1" x14ac:dyDescent="0.3">
      <c r="A27" s="717">
        <v>2.2999999999999998</v>
      </c>
      <c r="B27" s="706" t="s">
        <v>2</v>
      </c>
      <c r="C27" s="706"/>
      <c r="D27" s="718" t="s">
        <v>83</v>
      </c>
      <c r="E27" s="706" t="s">
        <v>91</v>
      </c>
      <c r="F27" s="724" t="s">
        <v>216</v>
      </c>
      <c r="G27" s="724"/>
      <c r="H27" s="706" t="s">
        <v>410</v>
      </c>
      <c r="I27" s="706"/>
      <c r="J27" s="706"/>
      <c r="K27" s="706"/>
      <c r="L27" s="706"/>
      <c r="M27" s="706"/>
      <c r="N27" s="706"/>
      <c r="O27" s="706"/>
      <c r="P27" s="706"/>
      <c r="Q27" s="706"/>
      <c r="R27" s="706"/>
      <c r="S27" s="703"/>
      <c r="T27" s="703"/>
      <c r="U27" s="706"/>
      <c r="V27" s="707"/>
      <c r="W27" s="704" t="s">
        <v>516</v>
      </c>
      <c r="X27" s="705" t="s">
        <v>414</v>
      </c>
    </row>
    <row r="28" spans="1:25" s="47" customFormat="1" x14ac:dyDescent="0.3">
      <c r="A28" s="717"/>
      <c r="B28" s="706"/>
      <c r="C28" s="706"/>
      <c r="D28" s="718"/>
      <c r="E28" s="706"/>
      <c r="F28" s="724"/>
      <c r="G28" s="724"/>
      <c r="H28" s="706"/>
      <c r="I28" s="706"/>
      <c r="J28" s="706"/>
      <c r="K28" s="706"/>
      <c r="L28" s="706"/>
      <c r="M28" s="706"/>
      <c r="N28" s="706"/>
      <c r="O28" s="706"/>
      <c r="P28" s="706"/>
      <c r="Q28" s="706"/>
      <c r="R28" s="706"/>
      <c r="S28" s="703"/>
      <c r="T28" s="703"/>
      <c r="U28" s="706"/>
      <c r="V28" s="708"/>
      <c r="W28" s="704"/>
      <c r="X28" s="705"/>
    </row>
    <row r="29" spans="1:25" s="47" customFormat="1" x14ac:dyDescent="0.3">
      <c r="A29" s="717"/>
      <c r="B29" s="706"/>
      <c r="C29" s="706"/>
      <c r="D29" s="718"/>
      <c r="E29" s="706"/>
      <c r="F29" s="724"/>
      <c r="G29" s="724"/>
      <c r="H29" s="706"/>
      <c r="I29" s="706"/>
      <c r="J29" s="706"/>
      <c r="K29" s="706"/>
      <c r="L29" s="706"/>
      <c r="M29" s="706"/>
      <c r="N29" s="706"/>
      <c r="O29" s="706"/>
      <c r="P29" s="706"/>
      <c r="Q29" s="706"/>
      <c r="R29" s="706"/>
      <c r="S29" s="703"/>
      <c r="T29" s="703"/>
      <c r="U29" s="706"/>
      <c r="V29" s="709"/>
      <c r="W29" s="704"/>
      <c r="X29" s="705"/>
    </row>
    <row r="30" spans="1:25" s="47" customFormat="1" ht="28.8" x14ac:dyDescent="0.3">
      <c r="A30" s="108"/>
      <c r="B30" s="109"/>
      <c r="C30" s="109"/>
      <c r="D30" s="110"/>
      <c r="E30" s="109"/>
      <c r="F30" s="109"/>
      <c r="G30" s="109"/>
      <c r="H30" s="109"/>
      <c r="I30" s="111"/>
      <c r="J30" s="111"/>
      <c r="K30" s="111"/>
      <c r="L30" s="112"/>
      <c r="M30" s="112"/>
      <c r="N30" s="111"/>
      <c r="O30" s="111"/>
      <c r="P30" s="112"/>
      <c r="Q30" s="112"/>
      <c r="R30" s="113" t="s">
        <v>368</v>
      </c>
      <c r="S30" s="114">
        <f>ROUND((S20+S25+S26+S27),3-(INT(LOG((S20+S25+S26+S27))+1)))</f>
        <v>11200</v>
      </c>
      <c r="T30" s="114">
        <f>ROUND((T20+T25+T26+T27),3-(INT(LOG((T20+T25+T26+T27))+1)))</f>
        <v>73800</v>
      </c>
      <c r="U30" s="446">
        <f>ROUND((U20+U25+U26+U27),3-(INT(LOG((U20+U25+U26+U27))+1)))</f>
        <v>112</v>
      </c>
      <c r="V30" s="446">
        <f>ROUND((V20+V25+V26+V27),3-(INT(LOG((V20+V25+V26+V27))+1)))</f>
        <v>730</v>
      </c>
      <c r="W30" s="109"/>
      <c r="X30" s="115" t="s">
        <v>413</v>
      </c>
    </row>
    <row r="31" spans="1:25" x14ac:dyDescent="0.3">
      <c r="D31" s="9"/>
      <c r="Q31" s="25"/>
      <c r="R31" s="27"/>
      <c r="S31" s="27"/>
      <c r="T31" s="27"/>
    </row>
    <row r="32" spans="1:25" x14ac:dyDescent="0.3">
      <c r="D32" s="10"/>
    </row>
    <row r="33" spans="4:4" x14ac:dyDescent="0.3">
      <c r="D33" s="3"/>
    </row>
    <row r="34" spans="4:4" x14ac:dyDescent="0.3">
      <c r="D34" s="11"/>
    </row>
    <row r="35" spans="4:4" x14ac:dyDescent="0.3">
      <c r="D35" s="11"/>
    </row>
    <row r="36" spans="4:4" x14ac:dyDescent="0.3">
      <c r="D36" s="11"/>
    </row>
    <row r="37" spans="4:4" ht="9" customHeight="1" x14ac:dyDescent="0.3">
      <c r="D37" s="11"/>
    </row>
    <row r="38" spans="4:4" x14ac:dyDescent="0.3">
      <c r="D38" s="11"/>
    </row>
    <row r="39" spans="4:4" x14ac:dyDescent="0.3">
      <c r="D39" s="3"/>
    </row>
    <row r="40" spans="4:4" x14ac:dyDescent="0.3">
      <c r="D40" s="3"/>
    </row>
    <row r="41" spans="4:4" x14ac:dyDescent="0.3">
      <c r="D41" s="3"/>
    </row>
    <row r="42" spans="4:4" x14ac:dyDescent="0.3">
      <c r="D42" s="3"/>
    </row>
    <row r="43" spans="4:4" x14ac:dyDescent="0.3">
      <c r="D43" s="8"/>
    </row>
    <row r="44" spans="4:4" x14ac:dyDescent="0.3">
      <c r="D44" s="8"/>
    </row>
    <row r="45" spans="4:4" x14ac:dyDescent="0.3">
      <c r="D45" s="3"/>
    </row>
    <row r="46" spans="4:4" x14ac:dyDescent="0.3">
      <c r="D46" s="3"/>
    </row>
    <row r="47" spans="4:4" x14ac:dyDescent="0.3">
      <c r="D47" s="3"/>
    </row>
    <row r="48" spans="4:4" x14ac:dyDescent="0.3">
      <c r="D48" s="3"/>
    </row>
    <row r="49" spans="4:4" x14ac:dyDescent="0.3">
      <c r="D49" s="3"/>
    </row>
    <row r="50" spans="4:4" x14ac:dyDescent="0.3">
      <c r="D50" s="3"/>
    </row>
    <row r="51" spans="4:4" x14ac:dyDescent="0.3">
      <c r="D51" s="3"/>
    </row>
    <row r="52" spans="4:4" x14ac:dyDescent="0.3">
      <c r="D52" s="2"/>
    </row>
  </sheetData>
  <mergeCells count="59">
    <mergeCell ref="W16:W18"/>
    <mergeCell ref="X16:X18"/>
    <mergeCell ref="A25:Q25"/>
    <mergeCell ref="A16:A18"/>
    <mergeCell ref="B16:B18"/>
    <mergeCell ref="C16:C18"/>
    <mergeCell ref="D16:D18"/>
    <mergeCell ref="N16:R16"/>
    <mergeCell ref="S17:T17"/>
    <mergeCell ref="H16:H18"/>
    <mergeCell ref="S16:V16"/>
    <mergeCell ref="P17:Q17"/>
    <mergeCell ref="N17:O17"/>
    <mergeCell ref="R17:R18"/>
    <mergeCell ref="U17:V17"/>
    <mergeCell ref="J16:M16"/>
    <mergeCell ref="H21:H24"/>
    <mergeCell ref="A1:C1"/>
    <mergeCell ref="C27:C29"/>
    <mergeCell ref="F19:G19"/>
    <mergeCell ref="F21:G24"/>
    <mergeCell ref="F26:G26"/>
    <mergeCell ref="F27:G29"/>
    <mergeCell ref="A4:B4"/>
    <mergeCell ref="A3:B3"/>
    <mergeCell ref="D21:D24"/>
    <mergeCell ref="A2:B2"/>
    <mergeCell ref="F20:G20"/>
    <mergeCell ref="F16:G18"/>
    <mergeCell ref="B6:C6"/>
    <mergeCell ref="D6:E6"/>
    <mergeCell ref="E16:E18"/>
    <mergeCell ref="A27:A29"/>
    <mergeCell ref="B27:B29"/>
    <mergeCell ref="D27:D29"/>
    <mergeCell ref="A21:A24"/>
    <mergeCell ref="B21:B24"/>
    <mergeCell ref="C21:C24"/>
    <mergeCell ref="M27:M29"/>
    <mergeCell ref="L27:L29"/>
    <mergeCell ref="J17:K17"/>
    <mergeCell ref="L17:M17"/>
    <mergeCell ref="I16:I18"/>
    <mergeCell ref="E27:E29"/>
    <mergeCell ref="H27:H29"/>
    <mergeCell ref="I27:I29"/>
    <mergeCell ref="J27:J29"/>
    <mergeCell ref="K27:K29"/>
    <mergeCell ref="T27:T29"/>
    <mergeCell ref="W27:W29"/>
    <mergeCell ref="X27:X29"/>
    <mergeCell ref="N27:N29"/>
    <mergeCell ref="O27:O29"/>
    <mergeCell ref="P27:P29"/>
    <mergeCell ref="Q27:Q29"/>
    <mergeCell ref="R27:R29"/>
    <mergeCell ref="U27:U29"/>
    <mergeCell ref="V27:V29"/>
    <mergeCell ref="S27:S29"/>
  </mergeCells>
  <pageMargins left="0.75" right="0.75" top="1" bottom="1" header="0.5" footer="0.5"/>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8"/>
  <sheetViews>
    <sheetView zoomScale="70" zoomScaleNormal="70" workbookViewId="0">
      <selection activeCell="C2" sqref="C2"/>
    </sheetView>
  </sheetViews>
  <sheetFormatPr defaultColWidth="8.88671875" defaultRowHeight="14.4" x14ac:dyDescent="0.3"/>
  <cols>
    <col min="1" max="1" width="10.88671875" bestFit="1" customWidth="1"/>
    <col min="2" max="3" width="10.33203125" customWidth="1"/>
    <col min="4" max="4" width="12.33203125" customWidth="1"/>
    <col min="5" max="5" width="5.6640625" style="1" customWidth="1"/>
    <col min="6" max="6" width="75.33203125" customWidth="1"/>
    <col min="7" max="7" width="11.33203125" customWidth="1"/>
    <col min="9" max="9" width="13.44140625" customWidth="1"/>
    <col min="18" max="18" width="10" bestFit="1" customWidth="1"/>
    <col min="21" max="21" width="28.33203125" bestFit="1" customWidth="1"/>
    <col min="22" max="22" width="41.6640625" customWidth="1"/>
    <col min="24" max="24" width="50.88671875" customWidth="1"/>
    <col min="25" max="25" width="22.33203125" bestFit="1" customWidth="1"/>
  </cols>
  <sheetData>
    <row r="1" spans="1:22" ht="21.9" customHeight="1" x14ac:dyDescent="0.3">
      <c r="A1" s="719" t="s">
        <v>531</v>
      </c>
      <c r="B1" s="720"/>
      <c r="C1" s="721"/>
      <c r="D1" s="47"/>
      <c r="E1" s="47"/>
      <c r="I1" s="21"/>
      <c r="J1" s="21"/>
    </row>
    <row r="2" spans="1:22" ht="21.9" customHeight="1" x14ac:dyDescent="0.3">
      <c r="A2" s="725" t="s">
        <v>382</v>
      </c>
      <c r="B2" s="726"/>
      <c r="C2" s="119">
        <f>'Cover Sheet'!B8</f>
        <v>100</v>
      </c>
      <c r="D2" s="47"/>
      <c r="E2" s="47"/>
      <c r="I2" s="24"/>
      <c r="J2" s="24"/>
    </row>
    <row r="3" spans="1:22" ht="21.9" customHeight="1" x14ac:dyDescent="0.3">
      <c r="D3" s="3"/>
      <c r="E3"/>
      <c r="I3" s="24"/>
      <c r="J3" s="24"/>
    </row>
    <row r="4" spans="1:22" ht="21.9" customHeight="1" x14ac:dyDescent="0.3">
      <c r="A4" s="719"/>
      <c r="B4" s="720" t="s">
        <v>533</v>
      </c>
      <c r="C4" s="720"/>
      <c r="D4" s="720" t="s">
        <v>294</v>
      </c>
      <c r="E4" s="721"/>
      <c r="I4" s="44"/>
      <c r="J4" s="44"/>
    </row>
    <row r="5" spans="1:22" ht="21.9" customHeight="1" x14ac:dyDescent="0.3">
      <c r="A5" s="765"/>
      <c r="B5" s="103" t="s">
        <v>340</v>
      </c>
      <c r="C5" s="103" t="s">
        <v>341</v>
      </c>
      <c r="D5" s="103" t="s">
        <v>340</v>
      </c>
      <c r="E5" s="104" t="s">
        <v>341</v>
      </c>
    </row>
    <row r="6" spans="1:22" ht="21.9" customHeight="1" x14ac:dyDescent="0.3">
      <c r="A6" s="85" t="s">
        <v>83</v>
      </c>
      <c r="B6" s="86">
        <f>ROUND((((L15+L16)*C2)+(N15+N16)),3-(INT(LOG((((L15+L16)*C2)+(N15+N16)))+1)))</f>
        <v>1800</v>
      </c>
      <c r="C6" s="86">
        <f>ROUND((((M15+M16)*C2)+(O15+O16)),3-(INT(LOG((((M15+M16)*C2)+(O15+O16)))+1)))</f>
        <v>3400</v>
      </c>
      <c r="D6" s="88">
        <f>ROUND((L15+L16+L17),3-(INT(LOG((L15+L16+L17))+1)))</f>
        <v>16</v>
      </c>
      <c r="E6" s="88">
        <f>ROUND((M15+M16+M17),3-(INT(LOG((M15+M16+M17))+1)))</f>
        <v>30</v>
      </c>
    </row>
    <row r="7" spans="1:22" ht="21.9" customHeight="1" x14ac:dyDescent="0.3">
      <c r="A7" s="90" t="s">
        <v>534</v>
      </c>
      <c r="B7" s="91">
        <f>(H15+H16+H17)*C2+(J15+J16+J17)</f>
        <v>0</v>
      </c>
      <c r="C7" s="91">
        <f>(I15+I16+I17)*C2+(K15+K16+K17)</f>
        <v>0</v>
      </c>
      <c r="D7" s="92">
        <f>H15+H16+H17</f>
        <v>0</v>
      </c>
      <c r="E7" s="93">
        <f>I15+I16+I17</f>
        <v>0</v>
      </c>
    </row>
    <row r="8" spans="1:22" ht="21.9" customHeight="1" x14ac:dyDescent="0.3">
      <c r="A8" s="94" t="s">
        <v>82</v>
      </c>
      <c r="B8" s="95">
        <v>0</v>
      </c>
      <c r="C8" s="95">
        <v>0</v>
      </c>
      <c r="D8" s="96">
        <v>0</v>
      </c>
      <c r="E8" s="97">
        <v>0</v>
      </c>
    </row>
    <row r="9" spans="1:22" ht="21.9" customHeight="1" x14ac:dyDescent="0.3">
      <c r="A9" s="98" t="s">
        <v>532</v>
      </c>
      <c r="B9" s="99">
        <f>Q20</f>
        <v>9000</v>
      </c>
      <c r="C9" s="99">
        <f>R20</f>
        <v>17000</v>
      </c>
      <c r="D9" s="100">
        <f>S20</f>
        <v>80</v>
      </c>
      <c r="E9" s="101">
        <f>T20</f>
        <v>150</v>
      </c>
    </row>
    <row r="10" spans="1:22" ht="21.9" customHeight="1" x14ac:dyDescent="0.3">
      <c r="D10" s="3"/>
      <c r="E10"/>
    </row>
    <row r="11" spans="1:22" x14ac:dyDescent="0.3">
      <c r="D11" s="3"/>
      <c r="E11"/>
    </row>
    <row r="12" spans="1:22" ht="45" customHeight="1" x14ac:dyDescent="0.3">
      <c r="A12" s="766" t="s">
        <v>0</v>
      </c>
      <c r="B12" s="769" t="s">
        <v>49</v>
      </c>
      <c r="C12" s="772" t="s">
        <v>52</v>
      </c>
      <c r="D12" s="772" t="s">
        <v>136</v>
      </c>
      <c r="E12" s="772" t="s">
        <v>90</v>
      </c>
      <c r="F12" s="775" t="s">
        <v>415</v>
      </c>
      <c r="G12" s="775" t="s">
        <v>1</v>
      </c>
      <c r="H12" s="787" t="s">
        <v>551</v>
      </c>
      <c r="I12" s="787"/>
      <c r="J12" s="787"/>
      <c r="K12" s="787"/>
      <c r="L12" s="787" t="s">
        <v>552</v>
      </c>
      <c r="M12" s="787"/>
      <c r="N12" s="787"/>
      <c r="O12" s="787"/>
      <c r="P12" s="787"/>
      <c r="Q12" s="778" t="s">
        <v>553</v>
      </c>
      <c r="R12" s="779"/>
      <c r="S12" s="779"/>
      <c r="T12" s="780"/>
      <c r="U12" s="775" t="s">
        <v>78</v>
      </c>
      <c r="V12" s="784" t="s">
        <v>296</v>
      </c>
    </row>
    <row r="13" spans="1:22" ht="43.65" customHeight="1" x14ac:dyDescent="0.3">
      <c r="A13" s="767"/>
      <c r="B13" s="770"/>
      <c r="C13" s="773"/>
      <c r="D13" s="773"/>
      <c r="E13" s="773"/>
      <c r="F13" s="776"/>
      <c r="G13" s="776"/>
      <c r="H13" s="788" t="s">
        <v>294</v>
      </c>
      <c r="I13" s="788"/>
      <c r="J13" s="781" t="s">
        <v>556</v>
      </c>
      <c r="K13" s="781"/>
      <c r="L13" s="782" t="s">
        <v>357</v>
      </c>
      <c r="M13" s="782"/>
      <c r="N13" s="781" t="s">
        <v>554</v>
      </c>
      <c r="O13" s="781"/>
      <c r="P13" s="782" t="s">
        <v>299</v>
      </c>
      <c r="Q13" s="783" t="s">
        <v>362</v>
      </c>
      <c r="R13" s="783"/>
      <c r="S13" s="783" t="s">
        <v>526</v>
      </c>
      <c r="T13" s="783"/>
      <c r="U13" s="776"/>
      <c r="V13" s="785"/>
    </row>
    <row r="14" spans="1:22" x14ac:dyDescent="0.3">
      <c r="A14" s="768"/>
      <c r="B14" s="771"/>
      <c r="C14" s="774"/>
      <c r="D14" s="774"/>
      <c r="E14" s="774"/>
      <c r="F14" s="777"/>
      <c r="G14" s="777"/>
      <c r="H14" s="196" t="s">
        <v>340</v>
      </c>
      <c r="I14" s="196" t="s">
        <v>341</v>
      </c>
      <c r="J14" s="259" t="s">
        <v>340</v>
      </c>
      <c r="K14" s="259" t="s">
        <v>341</v>
      </c>
      <c r="L14" s="258" t="s">
        <v>340</v>
      </c>
      <c r="M14" s="258" t="s">
        <v>341</v>
      </c>
      <c r="N14" s="259" t="s">
        <v>340</v>
      </c>
      <c r="O14" s="259" t="s">
        <v>341</v>
      </c>
      <c r="P14" s="782"/>
      <c r="Q14" s="196" t="s">
        <v>340</v>
      </c>
      <c r="R14" s="196" t="s">
        <v>341</v>
      </c>
      <c r="S14" s="196" t="s">
        <v>340</v>
      </c>
      <c r="T14" s="196" t="s">
        <v>341</v>
      </c>
      <c r="U14" s="777"/>
      <c r="V14" s="786"/>
    </row>
    <row r="15" spans="1:22" ht="115.2" x14ac:dyDescent="0.3">
      <c r="A15" s="129">
        <v>1</v>
      </c>
      <c r="B15" s="120" t="s">
        <v>2</v>
      </c>
      <c r="C15" s="121"/>
      <c r="D15" s="122" t="s">
        <v>397</v>
      </c>
      <c r="E15" s="123"/>
      <c r="F15" s="122" t="s">
        <v>416</v>
      </c>
      <c r="G15" s="120" t="s">
        <v>417</v>
      </c>
      <c r="H15" s="120"/>
      <c r="I15" s="120"/>
      <c r="J15" s="120"/>
      <c r="K15" s="120"/>
      <c r="L15" s="120">
        <v>8</v>
      </c>
      <c r="M15" s="120">
        <v>16</v>
      </c>
      <c r="N15" s="120"/>
      <c r="O15" s="120"/>
      <c r="P15" s="120">
        <v>5</v>
      </c>
      <c r="Q15" s="124">
        <f t="shared" ref="Q15:R17" si="0">((H15*$C$2)+J15)+(((L15*$C$2)+N15)*$P$15)</f>
        <v>4000</v>
      </c>
      <c r="R15" s="124">
        <f t="shared" si="0"/>
        <v>8000</v>
      </c>
      <c r="S15" s="125">
        <f t="shared" ref="S15:T17" si="1">L15*$P$15</f>
        <v>40</v>
      </c>
      <c r="T15" s="125">
        <f t="shared" si="1"/>
        <v>80</v>
      </c>
      <c r="U15" s="121" t="s">
        <v>567</v>
      </c>
      <c r="V15" s="130" t="s">
        <v>523</v>
      </c>
    </row>
    <row r="16" spans="1:22" ht="57.6" x14ac:dyDescent="0.3">
      <c r="A16" s="129">
        <f>A15+1</f>
        <v>2</v>
      </c>
      <c r="B16" s="120" t="s">
        <v>2</v>
      </c>
      <c r="C16" s="120"/>
      <c r="D16" s="126" t="s">
        <v>397</v>
      </c>
      <c r="E16" s="123"/>
      <c r="F16" s="122" t="s">
        <v>418</v>
      </c>
      <c r="G16" s="120" t="s">
        <v>419</v>
      </c>
      <c r="H16" s="120"/>
      <c r="I16" s="120"/>
      <c r="J16" s="120"/>
      <c r="K16" s="120"/>
      <c r="L16" s="120">
        <v>8</v>
      </c>
      <c r="M16" s="120">
        <v>14</v>
      </c>
      <c r="N16" s="127">
        <v>200</v>
      </c>
      <c r="O16" s="127">
        <v>400</v>
      </c>
      <c r="P16" s="120">
        <v>5</v>
      </c>
      <c r="Q16" s="124">
        <f t="shared" si="0"/>
        <v>5000</v>
      </c>
      <c r="R16" s="124">
        <f t="shared" si="0"/>
        <v>9000</v>
      </c>
      <c r="S16" s="125">
        <f t="shared" si="1"/>
        <v>40</v>
      </c>
      <c r="T16" s="125">
        <f t="shared" si="1"/>
        <v>70</v>
      </c>
      <c r="U16" s="121" t="s">
        <v>422</v>
      </c>
      <c r="V16" s="130" t="s">
        <v>523</v>
      </c>
    </row>
    <row r="17" spans="1:22" ht="28.8" x14ac:dyDescent="0.3">
      <c r="A17" s="129">
        <f>A16+1</f>
        <v>3</v>
      </c>
      <c r="B17" s="120" t="s">
        <v>2</v>
      </c>
      <c r="C17" s="120"/>
      <c r="D17" s="126" t="s">
        <v>397</v>
      </c>
      <c r="E17" s="123" t="s">
        <v>91</v>
      </c>
      <c r="F17" s="128" t="s">
        <v>420</v>
      </c>
      <c r="G17" s="120" t="s">
        <v>421</v>
      </c>
      <c r="H17" s="120"/>
      <c r="I17" s="120"/>
      <c r="J17" s="120"/>
      <c r="K17" s="120"/>
      <c r="L17" s="120"/>
      <c r="M17" s="120"/>
      <c r="N17" s="120"/>
      <c r="O17" s="120"/>
      <c r="P17" s="120">
        <v>5</v>
      </c>
      <c r="Q17" s="124">
        <f t="shared" si="0"/>
        <v>0</v>
      </c>
      <c r="R17" s="124">
        <f t="shared" si="0"/>
        <v>0</v>
      </c>
      <c r="S17" s="125">
        <f t="shared" si="1"/>
        <v>0</v>
      </c>
      <c r="T17" s="125">
        <f t="shared" si="1"/>
        <v>0</v>
      </c>
      <c r="U17" s="120" t="s">
        <v>515</v>
      </c>
      <c r="V17" s="130"/>
    </row>
    <row r="18" spans="1:22" ht="28.8" x14ac:dyDescent="0.3">
      <c r="A18" s="386">
        <v>4</v>
      </c>
      <c r="B18" s="214" t="s">
        <v>2</v>
      </c>
      <c r="C18" s="387"/>
      <c r="D18" s="392" t="s">
        <v>397</v>
      </c>
      <c r="E18" s="388"/>
      <c r="F18" s="346" t="s">
        <v>249</v>
      </c>
      <c r="G18" s="62" t="s">
        <v>251</v>
      </c>
      <c r="H18" s="387"/>
      <c r="I18" s="387"/>
      <c r="J18" s="387"/>
      <c r="K18" s="387"/>
      <c r="L18" s="387"/>
      <c r="M18" s="387"/>
      <c r="N18" s="387"/>
      <c r="O18" s="387"/>
      <c r="P18" s="387"/>
      <c r="Q18" s="389"/>
      <c r="R18" s="389"/>
      <c r="S18" s="390"/>
      <c r="T18" s="390"/>
      <c r="U18" s="387" t="s">
        <v>563</v>
      </c>
      <c r="V18" s="391"/>
    </row>
    <row r="19" spans="1:22" ht="43.2" x14ac:dyDescent="0.3">
      <c r="A19" s="386">
        <v>5</v>
      </c>
      <c r="B19" s="214" t="s">
        <v>2</v>
      </c>
      <c r="C19" s="387"/>
      <c r="D19" s="392" t="s">
        <v>397</v>
      </c>
      <c r="E19" s="388"/>
      <c r="F19" s="346" t="s">
        <v>250</v>
      </c>
      <c r="G19" s="62" t="s">
        <v>252</v>
      </c>
      <c r="H19" s="387"/>
      <c r="I19" s="387"/>
      <c r="J19" s="387"/>
      <c r="K19" s="387"/>
      <c r="L19" s="387"/>
      <c r="M19" s="387"/>
      <c r="N19" s="387"/>
      <c r="O19" s="387"/>
      <c r="P19" s="387"/>
      <c r="Q19" s="389"/>
      <c r="R19" s="389"/>
      <c r="S19" s="390"/>
      <c r="T19" s="390"/>
      <c r="U19" s="393" t="s">
        <v>568</v>
      </c>
      <c r="V19" s="391"/>
    </row>
    <row r="20" spans="1:22" ht="36" customHeight="1" x14ac:dyDescent="0.3">
      <c r="A20" s="131"/>
      <c r="B20" s="132"/>
      <c r="C20" s="132"/>
      <c r="D20" s="133"/>
      <c r="E20" s="132"/>
      <c r="F20" s="132"/>
      <c r="G20" s="132"/>
      <c r="H20" s="132"/>
      <c r="I20" s="132"/>
      <c r="J20" s="132"/>
      <c r="K20" s="132"/>
      <c r="L20" s="132"/>
      <c r="M20" s="132"/>
      <c r="N20" s="132"/>
      <c r="O20" s="134"/>
      <c r="P20" s="135" t="s">
        <v>368</v>
      </c>
      <c r="Q20" s="136">
        <f>ROUND((SUM(Q15:Q17)),3-(INT(LOG((SUM(Q15:Q17)))+1)))</f>
        <v>9000</v>
      </c>
      <c r="R20" s="136">
        <f>ROUND((SUM(R15:R17)),3-(INT(LOG((SUM(R15:R17)))+1)))</f>
        <v>17000</v>
      </c>
      <c r="S20" s="447">
        <f>ROUND((SUM(S15:S17)),3-(INT(LOG((SUM(S15:S17)))+1)))</f>
        <v>80</v>
      </c>
      <c r="T20" s="447">
        <f>ROUND((SUM(T15:T17)),3-(INT(LOG((SUM(T15:T17)))+1)))</f>
        <v>150</v>
      </c>
      <c r="U20" s="132"/>
      <c r="V20" s="137" t="s">
        <v>423</v>
      </c>
    </row>
    <row r="21" spans="1:22" x14ac:dyDescent="0.3">
      <c r="D21" s="3"/>
      <c r="E21"/>
    </row>
    <row r="22" spans="1:22" x14ac:dyDescent="0.3">
      <c r="D22" s="11"/>
      <c r="E22"/>
    </row>
    <row r="23" spans="1:22" x14ac:dyDescent="0.3">
      <c r="D23" s="11"/>
      <c r="E23"/>
    </row>
    <row r="24" spans="1:22" x14ac:dyDescent="0.3">
      <c r="D24" s="11"/>
      <c r="E24"/>
    </row>
    <row r="25" spans="1:22" x14ac:dyDescent="0.3">
      <c r="D25" s="3"/>
      <c r="E25"/>
    </row>
    <row r="26" spans="1:22" x14ac:dyDescent="0.3">
      <c r="D26" s="3"/>
      <c r="E26"/>
    </row>
    <row r="27" spans="1:22" x14ac:dyDescent="0.3">
      <c r="D27" s="3"/>
      <c r="E27"/>
    </row>
    <row r="28" spans="1:22" x14ac:dyDescent="0.3">
      <c r="D28" s="3"/>
      <c r="E28"/>
    </row>
    <row r="29" spans="1:22" x14ac:dyDescent="0.3">
      <c r="D29" s="8"/>
      <c r="E29"/>
    </row>
    <row r="30" spans="1:22" x14ac:dyDescent="0.3">
      <c r="D30" s="8"/>
      <c r="E30"/>
    </row>
    <row r="31" spans="1:22" x14ac:dyDescent="0.3">
      <c r="D31" s="3"/>
      <c r="E31"/>
    </row>
    <row r="32" spans="1:22" x14ac:dyDescent="0.3">
      <c r="D32" s="3"/>
      <c r="E32"/>
    </row>
    <row r="33" spans="4:5" x14ac:dyDescent="0.3">
      <c r="D33" s="3"/>
      <c r="E33"/>
    </row>
    <row r="34" spans="4:5" x14ac:dyDescent="0.3">
      <c r="D34" s="3"/>
      <c r="E34"/>
    </row>
    <row r="35" spans="4:5" x14ac:dyDescent="0.3">
      <c r="D35" s="3"/>
      <c r="E35"/>
    </row>
    <row r="36" spans="4:5" x14ac:dyDescent="0.3">
      <c r="D36" s="3"/>
      <c r="E36"/>
    </row>
    <row r="37" spans="4:5" x14ac:dyDescent="0.3">
      <c r="D37" s="3"/>
      <c r="E37"/>
    </row>
    <row r="38" spans="4:5" x14ac:dyDescent="0.3">
      <c r="D38" s="2"/>
      <c r="E38"/>
    </row>
  </sheetData>
  <mergeCells count="24">
    <mergeCell ref="U12:U14"/>
    <mergeCell ref="V12:V14"/>
    <mergeCell ref="H12:K12"/>
    <mergeCell ref="L12:P12"/>
    <mergeCell ref="Q13:R13"/>
    <mergeCell ref="H13:I13"/>
    <mergeCell ref="J13:K13"/>
    <mergeCell ref="L13:M13"/>
    <mergeCell ref="F12:F14"/>
    <mergeCell ref="G12:G14"/>
    <mergeCell ref="Q12:T12"/>
    <mergeCell ref="N13:O13"/>
    <mergeCell ref="P13:P14"/>
    <mergeCell ref="S13:T13"/>
    <mergeCell ref="A12:A14"/>
    <mergeCell ref="B12:B14"/>
    <mergeCell ref="C12:C14"/>
    <mergeCell ref="D12:D14"/>
    <mergeCell ref="E12:E14"/>
    <mergeCell ref="A1:C1"/>
    <mergeCell ref="A2:B2"/>
    <mergeCell ref="A4:A5"/>
    <mergeCell ref="B4:C4"/>
    <mergeCell ref="D4:E4"/>
  </mergeCells>
  <pageMargins left="0.75" right="0.75" top="1" bottom="1" header="0.5" footer="0.5"/>
  <pageSetup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78"/>
  <sheetViews>
    <sheetView topLeftCell="F37" zoomScale="70" zoomScaleNormal="70" workbookViewId="0">
      <selection activeCell="O53" sqref="O53"/>
    </sheetView>
  </sheetViews>
  <sheetFormatPr defaultColWidth="8.88671875" defaultRowHeight="14.4" x14ac:dyDescent="0.3"/>
  <cols>
    <col min="1" max="1" width="10.44140625" bestFit="1" customWidth="1"/>
    <col min="2" max="2" width="19.33203125" customWidth="1"/>
    <col min="3" max="3" width="11" style="1" customWidth="1"/>
    <col min="4" max="4" width="12.33203125" customWidth="1"/>
    <col min="5" max="6" width="5.6640625" style="1" customWidth="1"/>
    <col min="7" max="7" width="116.88671875" style="1" bestFit="1" customWidth="1"/>
    <col min="8" max="8" width="23.6640625" bestFit="1" customWidth="1"/>
    <col min="9" max="9" width="13.109375" style="1" customWidth="1"/>
    <col min="11" max="12" width="10.88671875" bestFit="1" customWidth="1"/>
    <col min="18" max="18" width="10.88671875" customWidth="1"/>
    <col min="19" max="19" width="14.44140625" customWidth="1"/>
    <col min="21" max="21" width="10" bestFit="1" customWidth="1"/>
    <col min="22" max="22" width="79.44140625" customWidth="1"/>
    <col min="23" max="23" width="39.44140625" bestFit="1" customWidth="1"/>
  </cols>
  <sheetData>
    <row r="1" spans="1:9" x14ac:dyDescent="0.3">
      <c r="I1" s="27"/>
    </row>
    <row r="2" spans="1:9" x14ac:dyDescent="0.3">
      <c r="C2"/>
      <c r="E2"/>
      <c r="F2"/>
      <c r="G2"/>
      <c r="I2"/>
    </row>
    <row r="3" spans="1:9" x14ac:dyDescent="0.3">
      <c r="C3"/>
      <c r="E3"/>
      <c r="F3"/>
      <c r="G3"/>
      <c r="I3" s="28"/>
    </row>
    <row r="4" spans="1:9" x14ac:dyDescent="0.3">
      <c r="C4"/>
      <c r="E4"/>
      <c r="F4"/>
      <c r="G4"/>
      <c r="I4"/>
    </row>
    <row r="5" spans="1:9" ht="21.9" customHeight="1" x14ac:dyDescent="0.3">
      <c r="A5" s="719" t="s">
        <v>531</v>
      </c>
      <c r="B5" s="720"/>
      <c r="C5" s="720"/>
      <c r="D5" s="721"/>
      <c r="E5" s="47"/>
      <c r="F5"/>
      <c r="G5"/>
      <c r="H5" s="1"/>
      <c r="I5" s="21"/>
    </row>
    <row r="6" spans="1:9" ht="21.9" customHeight="1" x14ac:dyDescent="0.3">
      <c r="A6" s="798" t="s">
        <v>569</v>
      </c>
      <c r="B6" s="799"/>
      <c r="C6" s="55">
        <f>'Cover Sheet'!B30</f>
        <v>154.60000000000002</v>
      </c>
      <c r="D6" s="141"/>
      <c r="E6" s="47"/>
      <c r="F6"/>
      <c r="G6"/>
      <c r="H6" s="1"/>
    </row>
    <row r="7" spans="1:9" ht="21.9" customHeight="1" x14ac:dyDescent="0.3">
      <c r="A7" s="798" t="s">
        <v>527</v>
      </c>
      <c r="B7" s="799"/>
      <c r="C7" s="55">
        <f>'Cover Sheet'!B33</f>
        <v>134</v>
      </c>
      <c r="D7" s="142"/>
      <c r="E7" s="47"/>
      <c r="F7"/>
      <c r="G7"/>
      <c r="H7" s="1"/>
    </row>
    <row r="8" spans="1:9" ht="21.9" customHeight="1" x14ac:dyDescent="0.3">
      <c r="A8" s="798" t="s">
        <v>538</v>
      </c>
      <c r="B8" s="799"/>
      <c r="C8" s="55">
        <f>'Cover Sheet'!B11</f>
        <v>12</v>
      </c>
      <c r="D8" s="142"/>
      <c r="E8" s="47"/>
      <c r="F8"/>
      <c r="G8"/>
      <c r="H8" s="1"/>
    </row>
    <row r="9" spans="1:9" ht="21.9" customHeight="1" x14ac:dyDescent="0.3">
      <c r="A9" s="798" t="s">
        <v>529</v>
      </c>
      <c r="B9" s="799"/>
      <c r="C9" s="55">
        <f>'Cover Sheet'!B23</f>
        <v>65</v>
      </c>
      <c r="D9" s="142"/>
      <c r="E9" s="47"/>
      <c r="F9"/>
      <c r="G9"/>
      <c r="H9" s="1"/>
    </row>
    <row r="10" spans="1:9" ht="21.9" customHeight="1" x14ac:dyDescent="0.3">
      <c r="A10" s="798" t="s">
        <v>564</v>
      </c>
      <c r="B10" s="799"/>
      <c r="C10" s="55">
        <f>'Cover Sheet'!B26</f>
        <v>3</v>
      </c>
      <c r="D10" s="142"/>
      <c r="E10" s="47"/>
      <c r="F10"/>
      <c r="G10"/>
      <c r="H10" s="1"/>
    </row>
    <row r="11" spans="1:9" ht="21.9" customHeight="1" x14ac:dyDescent="0.3">
      <c r="A11" s="798" t="s">
        <v>530</v>
      </c>
      <c r="B11" s="799"/>
      <c r="C11" s="55">
        <f>'Cover Sheet'!B27</f>
        <v>3</v>
      </c>
      <c r="D11" s="449">
        <f>'Cover Sheet'!C27</f>
        <v>3</v>
      </c>
    </row>
    <row r="12" spans="1:9" ht="21.9" customHeight="1" x14ac:dyDescent="0.3">
      <c r="A12" s="808" t="s">
        <v>382</v>
      </c>
      <c r="B12" s="809"/>
      <c r="C12" s="143">
        <f>'Cover Sheet'!B8</f>
        <v>100</v>
      </c>
      <c r="D12" s="144"/>
    </row>
    <row r="13" spans="1:9" x14ac:dyDescent="0.3">
      <c r="C13"/>
      <c r="E13"/>
      <c r="F13"/>
      <c r="G13"/>
      <c r="I13" s="24"/>
    </row>
    <row r="14" spans="1:9" ht="21.9" customHeight="1" x14ac:dyDescent="0.3">
      <c r="A14" s="297" t="s">
        <v>549</v>
      </c>
      <c r="C14"/>
      <c r="D14" s="3"/>
      <c r="E14"/>
      <c r="F14"/>
      <c r="G14"/>
      <c r="H14" s="1"/>
    </row>
    <row r="15" spans="1:9" ht="21.9" customHeight="1" x14ac:dyDescent="0.3">
      <c r="A15" s="72"/>
      <c r="B15" s="720" t="s">
        <v>533</v>
      </c>
      <c r="C15" s="720"/>
      <c r="D15" s="720" t="s">
        <v>294</v>
      </c>
      <c r="E15" s="721"/>
    </row>
    <row r="16" spans="1:9" ht="21.9" customHeight="1" x14ac:dyDescent="0.3">
      <c r="A16" s="102"/>
      <c r="B16" s="103" t="s">
        <v>340</v>
      </c>
      <c r="C16" s="103" t="s">
        <v>341</v>
      </c>
      <c r="D16" s="103" t="s">
        <v>340</v>
      </c>
      <c r="E16" s="104" t="s">
        <v>341</v>
      </c>
    </row>
    <row r="17" spans="1:9" ht="21.9" customHeight="1" x14ac:dyDescent="0.3">
      <c r="A17" s="85" t="s">
        <v>83</v>
      </c>
      <c r="B17" s="86">
        <f>ROUND((((M39+M48+M52+M54+M55+M56+M43+M49+M59+M62+M63+M64+M67+M68+M69+M71+M72)*$C$12)+O43+O52+O67),3-(INT(LOG((((M39+M48+M52+M54+M55+M56+M43+M49+M59+M62+M63+M64+M67+M68+M69+M71+M72)*$C$12)+O43+O52+O67))+1)))</f>
        <v>25100</v>
      </c>
      <c r="C17" s="319">
        <f>ROUND((((N39+N48+N52+N54+N55+N56+N43+N49+N59+N62+N63+N64+N67+N68+N69+N71+N72)*$C$12)+P43+P52+P67),3-(INT(LOG((((N39+N48+N52+N54+N55+N56+N43+N49+N59+N62+N63+N64+N67+N68+N69+N71+N72)*$C$12)+P43+P52+P67))+1)))</f>
        <v>46600</v>
      </c>
      <c r="D17" s="88">
        <f>ROUND((M39+M48+M52+M54+M55+M56+M59+M62+M63+M64+M67+M68+M69+M71+M72),3-(INT(LOG((M39+M48+M52+M54+M55+M56+M59+M62+M63+M64+M67+M68+M69+M71+M72))+1)))</f>
        <v>77</v>
      </c>
      <c r="E17" s="88">
        <f>ROUND((N39+N48+N52+N54+N55+N56+N59+N62+N63+N64+N67+N68+N69+N71+N72),3-(INT(LOG((N39+N48+N52+N54+N55+N56+N59+N62+N63+N64+N67+N68+N69+N71+N72))+1)))</f>
        <v>132</v>
      </c>
    </row>
    <row r="18" spans="1:9" ht="21.9" customHeight="1" x14ac:dyDescent="0.3">
      <c r="A18" s="90" t="s">
        <v>534</v>
      </c>
      <c r="B18" s="91">
        <f>ROUND((((I37+I38+I42+I47+I51+I58+I61)*C12)+K66),3-(INT(LOG((((I37+I38+I42+I47+I51+I58+I61)*C12)+K66))+1)))</f>
        <v>50200</v>
      </c>
      <c r="C18" s="323">
        <f>ROUND((((J37+J38+J42+J47+J51+J58+J61)*C12)+L66),3-(INT(LOG((((J37+J38+J42+J47+J51+J58+J61)*C12)+L66))+1)))</f>
        <v>55400</v>
      </c>
      <c r="D18" s="92">
        <f>ROUND((I37+I38+I42+I47+I51+I55+I58+I61),3-(INT(LOG((I37+I38+I42+I47+I51+I55+I58+I61))+1)))</f>
        <v>352</v>
      </c>
      <c r="E18" s="93">
        <f>ROUND((J37+J38+J42+J47+J51+J58+J61),3-(INT(LOG((J37+J38+J42+J47+J51+J58+J61))+1)))</f>
        <v>404</v>
      </c>
    </row>
    <row r="19" spans="1:9" ht="21.9" customHeight="1" x14ac:dyDescent="0.3">
      <c r="A19" s="94" t="s">
        <v>82</v>
      </c>
      <c r="B19" s="95">
        <f>(($M$45+$M$46+$M$70)*$C$12)*$Q$45</f>
        <v>0</v>
      </c>
      <c r="C19" s="95">
        <f>ROUND(((($N$45+$N$46+$N$70)*$C$12)*$Q$45),3-(INT(LOG(((($N$45+$N$46+$N$70)*$C$12)*$Q$45))+1)))</f>
        <v>5200</v>
      </c>
      <c r="D19" s="96">
        <f>($M$45+$M$46)*$Q$45</f>
        <v>0</v>
      </c>
      <c r="E19" s="97">
        <f>ROUND((($N$45+$N$46)*$Q$45),3-(INT(LOG((($N$45+$N$46)*$Q$45))+1)))</f>
        <v>52</v>
      </c>
    </row>
    <row r="20" spans="1:9" ht="21.9" customHeight="1" x14ac:dyDescent="0.3">
      <c r="A20" s="180" t="s">
        <v>535</v>
      </c>
      <c r="B20" s="181">
        <f>R74</f>
        <v>176000</v>
      </c>
      <c r="C20" s="181">
        <f>S74</f>
        <v>290000</v>
      </c>
      <c r="D20" s="182">
        <f>T74</f>
        <v>737</v>
      </c>
      <c r="E20" s="183">
        <f>U74</f>
        <v>1080</v>
      </c>
    </row>
    <row r="21" spans="1:9" ht="21.9" customHeight="1" x14ac:dyDescent="0.3">
      <c r="A21" s="184" t="s">
        <v>536</v>
      </c>
      <c r="B21" s="185"/>
      <c r="C21" s="186"/>
      <c r="D21" s="185"/>
      <c r="E21" s="187"/>
    </row>
    <row r="22" spans="1:9" ht="21.9" customHeight="1" x14ac:dyDescent="0.3">
      <c r="A22" s="226"/>
      <c r="B22" s="26"/>
      <c r="C22" s="296"/>
      <c r="D22" s="26"/>
      <c r="E22" s="296"/>
    </row>
    <row r="23" spans="1:9" x14ac:dyDescent="0.3">
      <c r="A23" s="297" t="s">
        <v>550</v>
      </c>
    </row>
    <row r="24" spans="1:9" ht="21.9" customHeight="1" x14ac:dyDescent="0.3">
      <c r="A24" s="72"/>
      <c r="B24" s="720" t="s">
        <v>533</v>
      </c>
      <c r="C24" s="720"/>
      <c r="D24" s="720" t="s">
        <v>294</v>
      </c>
      <c r="E24" s="721"/>
    </row>
    <row r="25" spans="1:9" ht="21.9" customHeight="1" x14ac:dyDescent="0.3">
      <c r="A25" s="102"/>
      <c r="B25" s="103" t="s">
        <v>340</v>
      </c>
      <c r="C25" s="103" t="s">
        <v>341</v>
      </c>
      <c r="D25" s="103" t="s">
        <v>340</v>
      </c>
      <c r="E25" s="104" t="s">
        <v>341</v>
      </c>
    </row>
    <row r="26" spans="1:9" ht="21.9" customHeight="1" x14ac:dyDescent="0.3">
      <c r="A26" s="85" t="s">
        <v>83</v>
      </c>
      <c r="B26" s="86">
        <f>ROUND((((R39+R48+R54+R55+R56+R59+R62+R63+R64+R67+R68+R69+R71+R72)/5)+O44+O53),3-(INT(LOG((((R39+R48+R54+R55+R56+R59+R62+R63+R64+R67+R68+R69+R71+R72)/5)+O44+O53))+1)))</f>
        <v>20700</v>
      </c>
      <c r="C26" s="319">
        <f>ROUND((((S39+S48+S54+S55+S56+S59+S62+S63+S64+S67+S68+S69+S71+S72)/5)+P44+P53),3-(INT(LOG((((S39+S48+S54+S55+S56+S59+S62+S63+S64+S67+S68+S69+S71+S72)/5)+P44+P53))+1)))</f>
        <v>38100</v>
      </c>
      <c r="D26" s="88">
        <f>ROUND((M39+M48+M55+M62+M68+M69+M72),3-(INT(LOG((M39+M48+M55+M62+M68+M69+M72))+1)))</f>
        <v>77</v>
      </c>
      <c r="E26" s="88">
        <f>ROUND((N39+N48+N55+N62+N68+N69+N72),3-(INT(LOG((N39+N48+N55+N62+N68+N69+N72))+1)))</f>
        <v>132</v>
      </c>
    </row>
    <row r="27" spans="1:9" ht="21.9" customHeight="1" x14ac:dyDescent="0.3">
      <c r="A27" s="90" t="s">
        <v>534</v>
      </c>
      <c r="B27" s="91">
        <f>ROUND((R37+R38+R42+(R44-(O44*5))+R47+R51+(R53-(O53*5))+R58+R61+R66),3-(INT(LOG((R37+R38+R42+(R44-(O44*5))+R47+R51+(R53-(O53*5))+R58+R61+R66))+1)))</f>
        <v>300000</v>
      </c>
      <c r="C27" s="323">
        <f>ROUND((S37+S38+S42+(S44-(P44*5))+S47+S51+(S53-(P53*5))+S58+S61+S66),3-(INT(LOG((S37+S38+S42+(S44-(P44*5))+S47+S51+(S53-(P53*5))+S58+S61+S66))+1)))</f>
        <v>625000</v>
      </c>
      <c r="D27" s="231">
        <f>ROUND((T37+T38+T42+T44+T47+T51+T53+T58+T61+T66),3-(INT(LOG((T37+T38+T42+T44+T47+T51+T53+T58+T61+T66))+1)))</f>
        <v>352</v>
      </c>
      <c r="E27" s="286">
        <f>ROUND((U37+U38+U42+U44+U47+U51+U53+U58+U61+U66),3-(INT(LOG((U37+U38+U42+U44+U47+U51+U53+U58+U61+U66))+1)))</f>
        <v>404</v>
      </c>
      <c r="G27" s="422"/>
    </row>
    <row r="28" spans="1:9" ht="21.9" customHeight="1" x14ac:dyDescent="0.3">
      <c r="A28" s="94" t="s">
        <v>82</v>
      </c>
      <c r="B28" s="95">
        <f>(($M$45+$M$46+$M$70)*$C$12)*$Q$45</f>
        <v>0</v>
      </c>
      <c r="C28" s="95">
        <f>ROUND(((($N$45+$N$46+$N$70)*$C$12)*$Q$45),3-(INT(LOG(((($N$45+$N$46+$N$70)*$C$12)*$Q$45))+1)))</f>
        <v>5200</v>
      </c>
      <c r="D28" s="96">
        <f>($M$45+$M$46)*$Q$45</f>
        <v>0</v>
      </c>
      <c r="E28" s="97">
        <f>ROUND((($N$45+$N$46)*$Q$45),3-(INT(LOG((($N$45+$N$46)*$Q$45))+1)))</f>
        <v>52</v>
      </c>
    </row>
    <row r="29" spans="1:9" ht="21.9" customHeight="1" x14ac:dyDescent="0.3">
      <c r="A29" s="180" t="s">
        <v>535</v>
      </c>
      <c r="B29" s="181">
        <f>R75</f>
        <v>404000</v>
      </c>
      <c r="C29" s="181">
        <f>S75</f>
        <v>816000</v>
      </c>
      <c r="D29" s="182">
        <f>T75</f>
        <v>737</v>
      </c>
      <c r="E29" s="183">
        <f>U75</f>
        <v>1080</v>
      </c>
    </row>
    <row r="30" spans="1:9" ht="21.9" customHeight="1" x14ac:dyDescent="0.3">
      <c r="A30" s="184" t="s">
        <v>536</v>
      </c>
      <c r="B30" s="185"/>
      <c r="C30" s="186"/>
      <c r="D30" s="185"/>
      <c r="E30" s="187"/>
    </row>
    <row r="32" spans="1:9" x14ac:dyDescent="0.3">
      <c r="C32"/>
      <c r="E32"/>
      <c r="F32"/>
      <c r="G32"/>
      <c r="I32" s="24"/>
    </row>
    <row r="33" spans="1:36" s="62" customFormat="1" ht="73.650000000000006" customHeight="1" x14ac:dyDescent="0.3">
      <c r="A33" s="813" t="s">
        <v>0</v>
      </c>
      <c r="B33" s="816" t="s">
        <v>49</v>
      </c>
      <c r="C33" s="800" t="s">
        <v>52</v>
      </c>
      <c r="D33" s="800" t="s">
        <v>136</v>
      </c>
      <c r="E33" s="800" t="s">
        <v>90</v>
      </c>
      <c r="F33" s="803" t="s">
        <v>424</v>
      </c>
      <c r="G33" s="803"/>
      <c r="H33" s="819" t="s">
        <v>1</v>
      </c>
      <c r="I33" s="806" t="s">
        <v>551</v>
      </c>
      <c r="J33" s="806"/>
      <c r="K33" s="806"/>
      <c r="L33" s="806"/>
      <c r="M33" s="806" t="s">
        <v>552</v>
      </c>
      <c r="N33" s="806"/>
      <c r="O33" s="806"/>
      <c r="P33" s="806"/>
      <c r="Q33" s="806"/>
      <c r="R33" s="710" t="s">
        <v>553</v>
      </c>
      <c r="S33" s="807"/>
      <c r="T33" s="807"/>
      <c r="U33" s="711"/>
      <c r="V33" s="810" t="s">
        <v>78</v>
      </c>
      <c r="W33" s="810" t="s">
        <v>296</v>
      </c>
      <c r="X33" s="140"/>
    </row>
    <row r="34" spans="1:36" s="62" customFormat="1" ht="30" customHeight="1" x14ac:dyDescent="0.3">
      <c r="A34" s="814"/>
      <c r="B34" s="817"/>
      <c r="C34" s="801"/>
      <c r="D34" s="801"/>
      <c r="E34" s="801"/>
      <c r="F34" s="804"/>
      <c r="G34" s="804"/>
      <c r="H34" s="733"/>
      <c r="I34" s="806" t="s">
        <v>294</v>
      </c>
      <c r="J34" s="806"/>
      <c r="K34" s="811" t="s">
        <v>556</v>
      </c>
      <c r="L34" s="811"/>
      <c r="M34" s="812" t="s">
        <v>357</v>
      </c>
      <c r="N34" s="812"/>
      <c r="O34" s="811" t="s">
        <v>556</v>
      </c>
      <c r="P34" s="811"/>
      <c r="Q34" s="812" t="s">
        <v>299</v>
      </c>
      <c r="R34" s="820" t="s">
        <v>362</v>
      </c>
      <c r="S34" s="820"/>
      <c r="T34" s="820" t="s">
        <v>526</v>
      </c>
      <c r="U34" s="820"/>
      <c r="V34" s="740"/>
      <c r="W34" s="740"/>
      <c r="X34" s="140"/>
    </row>
    <row r="35" spans="1:36" s="62" customFormat="1" ht="21.9" customHeight="1" x14ac:dyDescent="0.3">
      <c r="A35" s="815"/>
      <c r="B35" s="818"/>
      <c r="C35" s="802"/>
      <c r="D35" s="802"/>
      <c r="E35" s="802"/>
      <c r="F35" s="805"/>
      <c r="G35" s="805"/>
      <c r="H35" s="735"/>
      <c r="I35" s="138" t="s">
        <v>340</v>
      </c>
      <c r="J35" s="138" t="s">
        <v>341</v>
      </c>
      <c r="K35" s="116" t="s">
        <v>340</v>
      </c>
      <c r="L35" s="116" t="s">
        <v>341</v>
      </c>
      <c r="M35" s="139" t="s">
        <v>340</v>
      </c>
      <c r="N35" s="139" t="s">
        <v>341</v>
      </c>
      <c r="O35" s="116" t="s">
        <v>340</v>
      </c>
      <c r="P35" s="116" t="s">
        <v>341</v>
      </c>
      <c r="Q35" s="812"/>
      <c r="R35" s="138" t="s">
        <v>340</v>
      </c>
      <c r="S35" s="138" t="s">
        <v>341</v>
      </c>
      <c r="T35" s="138" t="s">
        <v>340</v>
      </c>
      <c r="U35" s="138" t="s">
        <v>341</v>
      </c>
      <c r="V35" s="741"/>
      <c r="W35" s="741"/>
      <c r="X35" s="140"/>
    </row>
    <row r="36" spans="1:36" s="16" customFormat="1" ht="36" customHeight="1" x14ac:dyDescent="0.3">
      <c r="A36" s="147">
        <v>1</v>
      </c>
      <c r="B36" s="147"/>
      <c r="C36" s="148"/>
      <c r="D36" s="148"/>
      <c r="E36" s="148"/>
      <c r="F36" s="147" t="s">
        <v>425</v>
      </c>
      <c r="G36" s="147"/>
      <c r="H36" s="790"/>
      <c r="I36" s="790"/>
      <c r="J36" s="790"/>
      <c r="K36" s="790"/>
      <c r="L36" s="790"/>
      <c r="M36" s="790"/>
      <c r="N36" s="790"/>
      <c r="O36" s="790"/>
      <c r="P36" s="790"/>
      <c r="Q36" s="790"/>
      <c r="R36" s="790"/>
      <c r="S36" s="790"/>
      <c r="T36" s="790"/>
      <c r="U36" s="790"/>
      <c r="V36" s="790"/>
      <c r="W36" s="790"/>
      <c r="X36" s="146"/>
      <c r="Y36" s="146"/>
      <c r="Z36" s="146"/>
      <c r="AA36" s="146"/>
      <c r="AB36" s="146"/>
      <c r="AC36" s="146"/>
      <c r="AD36" s="146"/>
      <c r="AE36" s="146"/>
      <c r="AF36" s="146"/>
      <c r="AG36" s="146"/>
      <c r="AH36" s="146"/>
      <c r="AI36" s="146"/>
      <c r="AJ36" s="146"/>
    </row>
    <row r="37" spans="1:36" s="16" customFormat="1" ht="36" customHeight="1" x14ac:dyDescent="0.3">
      <c r="A37" s="149">
        <v>1.1000000000000001</v>
      </c>
      <c r="B37" s="149" t="s">
        <v>2</v>
      </c>
      <c r="C37" s="149" t="s">
        <v>79</v>
      </c>
      <c r="D37" s="150" t="s">
        <v>81</v>
      </c>
      <c r="E37" s="149"/>
      <c r="F37" s="792" t="s">
        <v>426</v>
      </c>
      <c r="G37" s="792"/>
      <c r="H37" s="77" t="s">
        <v>427</v>
      </c>
      <c r="I37" s="151">
        <v>16</v>
      </c>
      <c r="J37" s="151">
        <v>20</v>
      </c>
      <c r="K37" s="152"/>
      <c r="L37" s="152"/>
      <c r="M37" s="153"/>
      <c r="N37" s="153"/>
      <c r="O37" s="152"/>
      <c r="P37" s="152"/>
      <c r="Q37" s="153">
        <v>1</v>
      </c>
      <c r="R37" s="83">
        <f>((I37*$C$12+K37)+((M37*$C$12+O37))*Q37)</f>
        <v>1600</v>
      </c>
      <c r="S37" s="83">
        <f>J37*$C$12+L37+((N37*$C$12+P37)*Q37)</f>
        <v>2000</v>
      </c>
      <c r="T37" s="154">
        <f>I37+(M37*5)</f>
        <v>16</v>
      </c>
      <c r="U37" s="154">
        <f t="shared" ref="T37:U39" si="0">J37+(N37*5)</f>
        <v>20</v>
      </c>
      <c r="V37" s="80" t="s">
        <v>557</v>
      </c>
      <c r="W37" s="77" t="s">
        <v>523</v>
      </c>
    </row>
    <row r="38" spans="1:36" s="48" customFormat="1" ht="36" customHeight="1" x14ac:dyDescent="0.3">
      <c r="A38" s="149">
        <v>1.2</v>
      </c>
      <c r="B38" s="149" t="s">
        <v>2</v>
      </c>
      <c r="C38" s="149" t="s">
        <v>79</v>
      </c>
      <c r="D38" s="150" t="s">
        <v>81</v>
      </c>
      <c r="E38" s="149"/>
      <c r="F38" s="792" t="s">
        <v>428</v>
      </c>
      <c r="G38" s="792"/>
      <c r="H38" s="77" t="s">
        <v>429</v>
      </c>
      <c r="I38" s="77">
        <f>8+(4*C9)</f>
        <v>268</v>
      </c>
      <c r="J38" s="77">
        <f>8+(4*C9)</f>
        <v>268</v>
      </c>
      <c r="K38" s="77"/>
      <c r="L38" s="77"/>
      <c r="M38" s="77"/>
      <c r="N38" s="77"/>
      <c r="O38" s="77"/>
      <c r="P38" s="77"/>
      <c r="Q38" s="77">
        <v>1</v>
      </c>
      <c r="R38" s="83">
        <f>((I38*$C$12+K38)+((M38*$C$12+O38))*Q38)</f>
        <v>26800</v>
      </c>
      <c r="S38" s="83">
        <f>J38*$C$12+L38+((N38*$C$12+P38)*Q38)</f>
        <v>26800</v>
      </c>
      <c r="T38" s="154">
        <f t="shared" si="0"/>
        <v>268</v>
      </c>
      <c r="U38" s="154">
        <f t="shared" si="0"/>
        <v>268</v>
      </c>
      <c r="V38" s="80" t="s">
        <v>430</v>
      </c>
      <c r="W38" s="80" t="s">
        <v>491</v>
      </c>
    </row>
    <row r="39" spans="1:36" s="47" customFormat="1" ht="36" customHeight="1" x14ac:dyDescent="0.3">
      <c r="A39" s="149">
        <v>1.3</v>
      </c>
      <c r="B39" s="149"/>
      <c r="C39" s="149"/>
      <c r="D39" s="155" t="s">
        <v>83</v>
      </c>
      <c r="E39" s="149"/>
      <c r="F39" s="724" t="s">
        <v>431</v>
      </c>
      <c r="G39" s="724"/>
      <c r="H39" s="77" t="s">
        <v>427</v>
      </c>
      <c r="I39" s="77"/>
      <c r="J39" s="77"/>
      <c r="K39" s="77"/>
      <c r="L39" s="77"/>
      <c r="M39" s="77">
        <v>8</v>
      </c>
      <c r="N39" s="77">
        <v>8</v>
      </c>
      <c r="O39" s="77"/>
      <c r="P39" s="77"/>
      <c r="Q39" s="77">
        <v>5</v>
      </c>
      <c r="R39" s="83">
        <f>((I39*$C$12+K39)+((M39*$C$12+O39))*Q39)</f>
        <v>4000</v>
      </c>
      <c r="S39" s="83">
        <f>J39*$C$12+L39+((N39*$C$12+P39)*Q39)</f>
        <v>4000</v>
      </c>
      <c r="T39" s="154">
        <f t="shared" si="0"/>
        <v>40</v>
      </c>
      <c r="U39" s="154">
        <f t="shared" si="0"/>
        <v>40</v>
      </c>
      <c r="V39" s="80"/>
      <c r="W39" s="77" t="s">
        <v>523</v>
      </c>
    </row>
    <row r="40" spans="1:36" s="47" customFormat="1" ht="36" customHeight="1" x14ac:dyDescent="0.3">
      <c r="A40" s="156">
        <v>2</v>
      </c>
      <c r="B40" s="156"/>
      <c r="C40" s="156"/>
      <c r="D40" s="156"/>
      <c r="E40" s="156"/>
      <c r="F40" s="156" t="s">
        <v>432</v>
      </c>
      <c r="G40" s="156"/>
      <c r="H40" s="794"/>
      <c r="I40" s="794"/>
      <c r="J40" s="794"/>
      <c r="K40" s="794"/>
      <c r="L40" s="794"/>
      <c r="M40" s="794"/>
      <c r="N40" s="794"/>
      <c r="O40" s="794"/>
      <c r="P40" s="794"/>
      <c r="Q40" s="794"/>
      <c r="R40" s="794"/>
      <c r="S40" s="794"/>
      <c r="T40" s="794"/>
      <c r="U40" s="794"/>
      <c r="V40" s="794"/>
      <c r="W40" s="794"/>
    </row>
    <row r="41" spans="1:36" s="47" customFormat="1" ht="36" customHeight="1" x14ac:dyDescent="0.3">
      <c r="A41" s="157">
        <v>2.1</v>
      </c>
      <c r="B41" s="157"/>
      <c r="C41" s="157"/>
      <c r="D41" s="157"/>
      <c r="E41" s="157"/>
      <c r="F41" s="796" t="s">
        <v>433</v>
      </c>
      <c r="G41" s="796"/>
      <c r="H41" s="789"/>
      <c r="I41" s="789"/>
      <c r="J41" s="789"/>
      <c r="K41" s="789"/>
      <c r="L41" s="789"/>
      <c r="M41" s="789"/>
      <c r="N41" s="789"/>
      <c r="O41" s="789"/>
      <c r="P41" s="789"/>
      <c r="Q41" s="789"/>
      <c r="R41" s="789"/>
      <c r="S41" s="789"/>
      <c r="T41" s="789"/>
      <c r="U41" s="789"/>
      <c r="V41" s="789"/>
      <c r="W41" s="789"/>
    </row>
    <row r="42" spans="1:36" s="49" customFormat="1" ht="36" customHeight="1" x14ac:dyDescent="0.3">
      <c r="A42" s="149" t="s">
        <v>206</v>
      </c>
      <c r="B42" s="149" t="s">
        <v>171</v>
      </c>
      <c r="C42" s="77" t="s">
        <v>79</v>
      </c>
      <c r="D42" s="158" t="s">
        <v>434</v>
      </c>
      <c r="E42" s="77"/>
      <c r="F42" s="792" t="s">
        <v>435</v>
      </c>
      <c r="G42" s="792"/>
      <c r="H42" s="77" t="s">
        <v>436</v>
      </c>
      <c r="I42" s="77">
        <v>24</v>
      </c>
      <c r="J42" s="77">
        <v>36</v>
      </c>
      <c r="K42" s="78"/>
      <c r="L42" s="78"/>
      <c r="M42" s="77"/>
      <c r="N42" s="77"/>
      <c r="O42" s="77"/>
      <c r="P42" s="77"/>
      <c r="Q42" s="77">
        <v>1</v>
      </c>
      <c r="R42" s="83">
        <f t="shared" ref="R42:R49" si="1">((I42*$C$12+K42)+((M42*$C$12+O42))*Q42)</f>
        <v>2400</v>
      </c>
      <c r="S42" s="83">
        <f t="shared" ref="S42:S48" si="2">J42*$C$12+L42+((N42*$C$12+P42)*Q42)</f>
        <v>3600</v>
      </c>
      <c r="T42" s="154">
        <f>I42+(M42*5)</f>
        <v>24</v>
      </c>
      <c r="U42" s="154">
        <f>J42+(N42*5)</f>
        <v>36</v>
      </c>
      <c r="V42" s="80" t="s">
        <v>492</v>
      </c>
      <c r="W42" s="77" t="s">
        <v>523</v>
      </c>
    </row>
    <row r="43" spans="1:36" s="47" customFormat="1" ht="36" customHeight="1" x14ac:dyDescent="0.3">
      <c r="A43" s="149" t="s">
        <v>207</v>
      </c>
      <c r="B43" s="149" t="s">
        <v>170</v>
      </c>
      <c r="C43" s="77"/>
      <c r="D43" s="159" t="s">
        <v>83</v>
      </c>
      <c r="E43" s="77"/>
      <c r="F43" s="718" t="s">
        <v>633</v>
      </c>
      <c r="G43" s="718"/>
      <c r="H43" s="77" t="s">
        <v>436</v>
      </c>
      <c r="I43" s="117"/>
      <c r="J43" s="117"/>
      <c r="K43" s="77"/>
      <c r="L43" s="77"/>
      <c r="M43" s="77"/>
      <c r="N43" s="77"/>
      <c r="O43" s="78">
        <f>$C$6*50</f>
        <v>7730.0000000000009</v>
      </c>
      <c r="P43" s="78">
        <f>$C$6*100</f>
        <v>15460.000000000002</v>
      </c>
      <c r="Q43" s="77">
        <v>5</v>
      </c>
      <c r="R43" s="291">
        <f t="shared" si="1"/>
        <v>38650.000000000007</v>
      </c>
      <c r="S43" s="291">
        <f t="shared" si="2"/>
        <v>77300.000000000015</v>
      </c>
      <c r="T43" s="292">
        <f t="shared" ref="T43:T49" si="3">I43+(M43*5)</f>
        <v>0</v>
      </c>
      <c r="U43" s="292">
        <f t="shared" ref="U43:U49" si="4">J43+(N43*5)</f>
        <v>0</v>
      </c>
      <c r="V43" s="80" t="s">
        <v>493</v>
      </c>
      <c r="W43" s="80" t="s">
        <v>437</v>
      </c>
    </row>
    <row r="44" spans="1:36" s="47" customFormat="1" ht="36" customHeight="1" x14ac:dyDescent="0.3">
      <c r="A44" s="149"/>
      <c r="B44" s="149"/>
      <c r="C44" s="77"/>
      <c r="D44" s="158" t="s">
        <v>534</v>
      </c>
      <c r="E44" s="77"/>
      <c r="F44" s="791" t="s">
        <v>634</v>
      </c>
      <c r="G44" s="791"/>
      <c r="H44" s="77" t="s">
        <v>436</v>
      </c>
      <c r="I44" s="117"/>
      <c r="J44" s="117"/>
      <c r="K44" s="290">
        <v>125000</v>
      </c>
      <c r="L44" s="290">
        <v>320000</v>
      </c>
      <c r="M44" s="77"/>
      <c r="N44" s="77"/>
      <c r="O44" s="443">
        <v>5000</v>
      </c>
      <c r="P44" s="443">
        <v>10000</v>
      </c>
      <c r="Q44" s="427">
        <v>1</v>
      </c>
      <c r="R44" s="293">
        <f>(((I44*$C$12+K44))+((M44*$C$12+O44))*5)</f>
        <v>150000</v>
      </c>
      <c r="S44" s="293">
        <f>((J44*$C$12+L44))+((N44*$C$12+P44)*5)</f>
        <v>370000</v>
      </c>
      <c r="T44" s="294">
        <f t="shared" si="3"/>
        <v>0</v>
      </c>
      <c r="U44" s="294">
        <f>J44+(N44*5)</f>
        <v>0</v>
      </c>
      <c r="V44" s="63" t="s">
        <v>620</v>
      </c>
      <c r="W44" s="80" t="s">
        <v>621</v>
      </c>
    </row>
    <row r="45" spans="1:36" s="47" customFormat="1" ht="45.6" customHeight="1" x14ac:dyDescent="0.3">
      <c r="A45" s="149" t="s">
        <v>438</v>
      </c>
      <c r="B45" s="149" t="s">
        <v>170</v>
      </c>
      <c r="C45" s="77"/>
      <c r="D45" s="160" t="s">
        <v>82</v>
      </c>
      <c r="E45" s="77"/>
      <c r="F45" s="793" t="s">
        <v>439</v>
      </c>
      <c r="G45" s="793"/>
      <c r="H45" s="77" t="s">
        <v>436</v>
      </c>
      <c r="I45" s="77"/>
      <c r="J45" s="77"/>
      <c r="K45" s="77"/>
      <c r="L45" s="77"/>
      <c r="M45" s="77">
        <v>0</v>
      </c>
      <c r="N45" s="77">
        <f>C8*0.2</f>
        <v>2.4000000000000004</v>
      </c>
      <c r="O45" s="77"/>
      <c r="P45" s="77"/>
      <c r="Q45" s="77">
        <v>5</v>
      </c>
      <c r="R45" s="161">
        <f t="shared" si="1"/>
        <v>0</v>
      </c>
      <c r="S45" s="161">
        <f t="shared" si="2"/>
        <v>1200.0000000000002</v>
      </c>
      <c r="T45" s="162">
        <f t="shared" si="3"/>
        <v>0</v>
      </c>
      <c r="U45" s="162">
        <f t="shared" si="4"/>
        <v>12.000000000000002</v>
      </c>
      <c r="V45" s="426" t="s">
        <v>619</v>
      </c>
      <c r="W45" s="77" t="s">
        <v>523</v>
      </c>
    </row>
    <row r="46" spans="1:36" s="47" customFormat="1" ht="36" customHeight="1" x14ac:dyDescent="0.3">
      <c r="A46" s="149" t="s">
        <v>440</v>
      </c>
      <c r="B46" s="149" t="s">
        <v>2</v>
      </c>
      <c r="C46" s="77"/>
      <c r="D46" s="160" t="s">
        <v>82</v>
      </c>
      <c r="E46" s="77"/>
      <c r="F46" s="795" t="s">
        <v>441</v>
      </c>
      <c r="G46" s="795"/>
      <c r="H46" s="77" t="s">
        <v>436</v>
      </c>
      <c r="I46" s="77"/>
      <c r="J46" s="77"/>
      <c r="K46" s="77"/>
      <c r="L46" s="77"/>
      <c r="M46" s="77">
        <v>0</v>
      </c>
      <c r="N46" s="77">
        <v>8</v>
      </c>
      <c r="O46" s="77"/>
      <c r="P46" s="77"/>
      <c r="Q46" s="77">
        <v>5</v>
      </c>
      <c r="R46" s="161">
        <f t="shared" si="1"/>
        <v>0</v>
      </c>
      <c r="S46" s="161">
        <f t="shared" si="2"/>
        <v>4000</v>
      </c>
      <c r="T46" s="162">
        <f t="shared" si="3"/>
        <v>0</v>
      </c>
      <c r="U46" s="162">
        <f t="shared" si="4"/>
        <v>40</v>
      </c>
      <c r="V46" s="80" t="s">
        <v>494</v>
      </c>
      <c r="W46" s="704" t="s">
        <v>523</v>
      </c>
    </row>
    <row r="47" spans="1:36" s="47" customFormat="1" ht="36" customHeight="1" x14ac:dyDescent="0.3">
      <c r="A47" s="149" t="s">
        <v>442</v>
      </c>
      <c r="B47" s="149" t="s">
        <v>107</v>
      </c>
      <c r="C47" s="77" t="s">
        <v>79</v>
      </c>
      <c r="D47" s="163" t="s">
        <v>81</v>
      </c>
      <c r="E47" s="77" t="s">
        <v>91</v>
      </c>
      <c r="F47" s="791" t="s">
        <v>443</v>
      </c>
      <c r="G47" s="791"/>
      <c r="H47" s="77" t="s">
        <v>436</v>
      </c>
      <c r="I47" s="77">
        <v>8</v>
      </c>
      <c r="J47" s="77">
        <v>16</v>
      </c>
      <c r="K47" s="77"/>
      <c r="L47" s="77"/>
      <c r="M47" s="77"/>
      <c r="N47" s="77"/>
      <c r="O47" s="77"/>
      <c r="P47" s="77"/>
      <c r="Q47" s="77">
        <v>1</v>
      </c>
      <c r="R47" s="83">
        <f t="shared" si="1"/>
        <v>800</v>
      </c>
      <c r="S47" s="83">
        <f t="shared" si="2"/>
        <v>1600</v>
      </c>
      <c r="T47" s="154">
        <f t="shared" si="3"/>
        <v>8</v>
      </c>
      <c r="U47" s="154">
        <f t="shared" si="4"/>
        <v>16</v>
      </c>
      <c r="V47" s="80" t="s">
        <v>495</v>
      </c>
      <c r="W47" s="704"/>
    </row>
    <row r="48" spans="1:36" s="47" customFormat="1" ht="36" customHeight="1" x14ac:dyDescent="0.3">
      <c r="A48" s="149" t="s">
        <v>444</v>
      </c>
      <c r="B48" s="149" t="s">
        <v>170</v>
      </c>
      <c r="C48" s="77"/>
      <c r="D48" s="164" t="s">
        <v>83</v>
      </c>
      <c r="E48" s="77"/>
      <c r="F48" s="718" t="s">
        <v>445</v>
      </c>
      <c r="G48" s="718"/>
      <c r="H48" s="77" t="s">
        <v>436</v>
      </c>
      <c r="I48" s="77"/>
      <c r="J48" s="77"/>
      <c r="K48" s="77"/>
      <c r="L48" s="77"/>
      <c r="M48" s="77">
        <v>16</v>
      </c>
      <c r="N48" s="77">
        <v>24</v>
      </c>
      <c r="O48" s="77"/>
      <c r="P48" s="77"/>
      <c r="Q48" s="77">
        <v>5</v>
      </c>
      <c r="R48" s="83">
        <f t="shared" si="1"/>
        <v>8000</v>
      </c>
      <c r="S48" s="83">
        <f t="shared" si="2"/>
        <v>12000</v>
      </c>
      <c r="T48" s="154">
        <f t="shared" si="3"/>
        <v>80</v>
      </c>
      <c r="U48" s="154">
        <f t="shared" si="4"/>
        <v>120</v>
      </c>
      <c r="V48" s="80"/>
      <c r="W48" s="704"/>
    </row>
    <row r="49" spans="1:24" s="47" customFormat="1" ht="36" customHeight="1" x14ac:dyDescent="0.3">
      <c r="A49" s="149" t="s">
        <v>446</v>
      </c>
      <c r="B49" s="149" t="s">
        <v>2</v>
      </c>
      <c r="C49" s="77"/>
      <c r="D49" s="165" t="s">
        <v>83</v>
      </c>
      <c r="E49" s="77" t="s">
        <v>91</v>
      </c>
      <c r="F49" s="724" t="s">
        <v>203</v>
      </c>
      <c r="G49" s="724"/>
      <c r="H49" s="77" t="s">
        <v>436</v>
      </c>
      <c r="I49" s="166"/>
      <c r="J49" s="166"/>
      <c r="K49" s="83"/>
      <c r="L49" s="83"/>
      <c r="M49" s="166"/>
      <c r="N49" s="166"/>
      <c r="O49" s="83"/>
      <c r="P49" s="83"/>
      <c r="Q49" s="151">
        <v>5</v>
      </c>
      <c r="R49" s="167">
        <f t="shared" si="1"/>
        <v>0</v>
      </c>
      <c r="S49" s="167">
        <f>((J49*$C$12+L49)+((N49*$C$12+P49))*Q49)</f>
        <v>0</v>
      </c>
      <c r="T49" s="154">
        <f t="shared" si="3"/>
        <v>0</v>
      </c>
      <c r="U49" s="154">
        <f t="shared" si="4"/>
        <v>0</v>
      </c>
      <c r="V49" s="80" t="s">
        <v>517</v>
      </c>
      <c r="W49" s="77"/>
    </row>
    <row r="50" spans="1:24" s="47" customFormat="1" ht="36" customHeight="1" x14ac:dyDescent="0.3">
      <c r="A50" s="157">
        <v>2.2000000000000002</v>
      </c>
      <c r="B50" s="157"/>
      <c r="C50" s="157"/>
      <c r="D50" s="157"/>
      <c r="E50" s="157"/>
      <c r="F50" s="796" t="s">
        <v>204</v>
      </c>
      <c r="G50" s="796"/>
      <c r="H50" s="789"/>
      <c r="I50" s="789"/>
      <c r="J50" s="789"/>
      <c r="K50" s="789"/>
      <c r="L50" s="789"/>
      <c r="M50" s="789"/>
      <c r="N50" s="789"/>
      <c r="O50" s="789"/>
      <c r="P50" s="789"/>
      <c r="Q50" s="789"/>
      <c r="R50" s="789"/>
      <c r="S50" s="789"/>
      <c r="T50" s="789"/>
      <c r="U50" s="789"/>
      <c r="V50" s="789"/>
      <c r="W50" s="789"/>
    </row>
    <row r="51" spans="1:24" s="47" customFormat="1" ht="48" customHeight="1" x14ac:dyDescent="0.3">
      <c r="A51" s="149" t="s">
        <v>447</v>
      </c>
      <c r="B51" s="149" t="s">
        <v>171</v>
      </c>
      <c r="C51" s="77" t="s">
        <v>79</v>
      </c>
      <c r="D51" s="168" t="s">
        <v>81</v>
      </c>
      <c r="E51" s="77"/>
      <c r="F51" s="792" t="s">
        <v>448</v>
      </c>
      <c r="G51" s="792"/>
      <c r="H51" s="77" t="s">
        <v>449</v>
      </c>
      <c r="I51" s="166">
        <v>16</v>
      </c>
      <c r="J51" s="166">
        <v>24</v>
      </c>
      <c r="K51" s="83"/>
      <c r="L51" s="83"/>
      <c r="M51" s="166"/>
      <c r="N51" s="166"/>
      <c r="O51" s="83"/>
      <c r="P51" s="83"/>
      <c r="Q51" s="151">
        <v>1</v>
      </c>
      <c r="R51" s="167">
        <f t="shared" ref="R51:R56" si="5">((I51*$C$12+K51)+((M51*$C$12+O51))*Q51)</f>
        <v>1600</v>
      </c>
      <c r="S51" s="167">
        <f t="shared" ref="S51:S56" si="6">((J51*$C$12+L51)+((N51*$C$12+P51))*Q51)</f>
        <v>2400</v>
      </c>
      <c r="T51" s="154">
        <f t="shared" ref="T51:U56" si="7">I51+(M51*5)</f>
        <v>16</v>
      </c>
      <c r="U51" s="154">
        <f t="shared" si="7"/>
        <v>24</v>
      </c>
      <c r="V51" s="80" t="s">
        <v>492</v>
      </c>
      <c r="W51" s="169" t="s">
        <v>523</v>
      </c>
    </row>
    <row r="52" spans="1:24" s="47" customFormat="1" ht="36" customHeight="1" x14ac:dyDescent="0.3">
      <c r="A52" s="149" t="s">
        <v>450</v>
      </c>
      <c r="B52" s="149" t="s">
        <v>170</v>
      </c>
      <c r="C52" s="77"/>
      <c r="D52" s="165" t="s">
        <v>83</v>
      </c>
      <c r="E52" s="77"/>
      <c r="F52" s="718" t="s">
        <v>451</v>
      </c>
      <c r="G52" s="718"/>
      <c r="H52" s="77" t="s">
        <v>449</v>
      </c>
      <c r="I52" s="166"/>
      <c r="J52" s="166"/>
      <c r="K52" s="83"/>
      <c r="L52" s="83"/>
      <c r="M52" s="166"/>
      <c r="N52" s="166"/>
      <c r="O52" s="83">
        <f>C7*50</f>
        <v>6700</v>
      </c>
      <c r="P52" s="83">
        <f>C7*100</f>
        <v>13400</v>
      </c>
      <c r="Q52" s="151">
        <v>5</v>
      </c>
      <c r="R52" s="295">
        <f t="shared" si="5"/>
        <v>33500</v>
      </c>
      <c r="S52" s="295">
        <f t="shared" si="6"/>
        <v>67000</v>
      </c>
      <c r="T52" s="292">
        <f t="shared" si="7"/>
        <v>0</v>
      </c>
      <c r="U52" s="292">
        <f t="shared" si="7"/>
        <v>0</v>
      </c>
      <c r="V52" s="84" t="s">
        <v>496</v>
      </c>
      <c r="W52" s="77" t="s">
        <v>437</v>
      </c>
    </row>
    <row r="53" spans="1:24" s="47" customFormat="1" ht="36" customHeight="1" x14ac:dyDescent="0.3">
      <c r="A53" s="149"/>
      <c r="B53" s="149"/>
      <c r="C53" s="77"/>
      <c r="D53" s="168" t="s">
        <v>81</v>
      </c>
      <c r="E53" s="77"/>
      <c r="F53" s="791" t="s">
        <v>451</v>
      </c>
      <c r="G53" s="791"/>
      <c r="H53" s="77" t="s">
        <v>449</v>
      </c>
      <c r="I53" s="166"/>
      <c r="J53" s="166"/>
      <c r="K53" s="50">
        <v>125000</v>
      </c>
      <c r="L53" s="51">
        <v>250000</v>
      </c>
      <c r="M53" s="166"/>
      <c r="N53" s="166"/>
      <c r="O53" s="83">
        <v>5000</v>
      </c>
      <c r="P53" s="83">
        <v>10000</v>
      </c>
      <c r="Q53" s="151">
        <v>1</v>
      </c>
      <c r="R53" s="293">
        <f>(((I53*$C$12+K53))+((M53*$C$12+O53))*5)</f>
        <v>150000</v>
      </c>
      <c r="S53" s="293">
        <f>((J53*$C$12+L53))+((N53*$C$12+P53)*5)</f>
        <v>300000</v>
      </c>
      <c r="T53" s="294">
        <f>I53+(M53*5)</f>
        <v>0</v>
      </c>
      <c r="U53" s="294">
        <f>J53+(N53*5)</f>
        <v>0</v>
      </c>
      <c r="V53" s="63" t="s">
        <v>631</v>
      </c>
      <c r="W53" s="77"/>
    </row>
    <row r="54" spans="1:24" s="47" customFormat="1" ht="36" customHeight="1" x14ac:dyDescent="0.3">
      <c r="A54" s="149" t="s">
        <v>452</v>
      </c>
      <c r="B54" s="149" t="s">
        <v>2</v>
      </c>
      <c r="C54" s="77"/>
      <c r="D54" s="159" t="s">
        <v>83</v>
      </c>
      <c r="E54" s="77" t="s">
        <v>91</v>
      </c>
      <c r="F54" s="718" t="s">
        <v>453</v>
      </c>
      <c r="G54" s="718"/>
      <c r="H54" s="77" t="s">
        <v>449</v>
      </c>
      <c r="I54" s="166"/>
      <c r="J54" s="166"/>
      <c r="K54" s="83"/>
      <c r="L54" s="83"/>
      <c r="M54" s="166"/>
      <c r="N54" s="166"/>
      <c r="O54" s="83"/>
      <c r="P54" s="83"/>
      <c r="Q54" s="151">
        <v>5</v>
      </c>
      <c r="R54" s="167">
        <f t="shared" si="5"/>
        <v>0</v>
      </c>
      <c r="S54" s="167">
        <f t="shared" si="6"/>
        <v>0</v>
      </c>
      <c r="T54" s="154">
        <f t="shared" si="7"/>
        <v>0</v>
      </c>
      <c r="U54" s="154">
        <f t="shared" si="7"/>
        <v>0</v>
      </c>
      <c r="V54" s="77" t="s">
        <v>518</v>
      </c>
      <c r="W54" s="77"/>
    </row>
    <row r="55" spans="1:24" s="47" customFormat="1" ht="36" customHeight="1" x14ac:dyDescent="0.3">
      <c r="A55" s="149" t="s">
        <v>454</v>
      </c>
      <c r="B55" s="149" t="s">
        <v>170</v>
      </c>
      <c r="C55" s="77"/>
      <c r="D55" s="165" t="s">
        <v>83</v>
      </c>
      <c r="E55" s="77" t="s">
        <v>91</v>
      </c>
      <c r="F55" s="724" t="s">
        <v>455</v>
      </c>
      <c r="G55" s="724"/>
      <c r="H55" s="77" t="s">
        <v>449</v>
      </c>
      <c r="I55" s="166">
        <v>0</v>
      </c>
      <c r="J55" s="166">
        <v>20</v>
      </c>
      <c r="K55" s="83"/>
      <c r="L55" s="83"/>
      <c r="M55" s="166">
        <v>0</v>
      </c>
      <c r="N55" s="166">
        <v>10</v>
      </c>
      <c r="O55" s="83"/>
      <c r="P55" s="83"/>
      <c r="Q55" s="151">
        <v>5</v>
      </c>
      <c r="R55" s="167">
        <f t="shared" si="5"/>
        <v>0</v>
      </c>
      <c r="S55" s="167">
        <f t="shared" si="6"/>
        <v>7000</v>
      </c>
      <c r="T55" s="154">
        <f t="shared" si="7"/>
        <v>0</v>
      </c>
      <c r="U55" s="154">
        <f t="shared" si="7"/>
        <v>70</v>
      </c>
      <c r="V55" s="84" t="s">
        <v>570</v>
      </c>
      <c r="W55" s="169" t="s">
        <v>523</v>
      </c>
    </row>
    <row r="56" spans="1:24" s="47" customFormat="1" ht="36" customHeight="1" x14ac:dyDescent="0.3">
      <c r="A56" s="149" t="s">
        <v>456</v>
      </c>
      <c r="B56" s="149" t="s">
        <v>170</v>
      </c>
      <c r="C56" s="77"/>
      <c r="D56" s="170" t="s">
        <v>80</v>
      </c>
      <c r="E56" s="77"/>
      <c r="F56" s="724" t="s">
        <v>457</v>
      </c>
      <c r="G56" s="724"/>
      <c r="H56" s="77" t="s">
        <v>458</v>
      </c>
      <c r="I56" s="166"/>
      <c r="J56" s="166"/>
      <c r="K56" s="83"/>
      <c r="L56" s="83"/>
      <c r="M56" s="166"/>
      <c r="N56" s="166"/>
      <c r="O56" s="83"/>
      <c r="P56" s="83"/>
      <c r="Q56" s="151">
        <v>5</v>
      </c>
      <c r="R56" s="167">
        <f t="shared" si="5"/>
        <v>0</v>
      </c>
      <c r="S56" s="167">
        <f t="shared" si="6"/>
        <v>0</v>
      </c>
      <c r="T56" s="154">
        <f t="shared" si="7"/>
        <v>0</v>
      </c>
      <c r="U56" s="154">
        <f t="shared" si="7"/>
        <v>0</v>
      </c>
      <c r="V56" s="80" t="s">
        <v>497</v>
      </c>
      <c r="W56" s="169" t="s">
        <v>523</v>
      </c>
    </row>
    <row r="57" spans="1:24" s="47" customFormat="1" ht="36" customHeight="1" x14ac:dyDescent="0.3">
      <c r="A57" s="157">
        <v>2.2999999999999998</v>
      </c>
      <c r="B57" s="157"/>
      <c r="C57" s="157"/>
      <c r="D57" s="171"/>
      <c r="E57" s="157"/>
      <c r="F57" s="796" t="s">
        <v>459</v>
      </c>
      <c r="G57" s="796"/>
      <c r="H57" s="789"/>
      <c r="I57" s="789"/>
      <c r="J57" s="789"/>
      <c r="K57" s="789"/>
      <c r="L57" s="789"/>
      <c r="M57" s="789"/>
      <c r="N57" s="789"/>
      <c r="O57" s="789"/>
      <c r="P57" s="789"/>
      <c r="Q57" s="789"/>
      <c r="R57" s="789"/>
      <c r="S57" s="789"/>
      <c r="T57" s="789"/>
      <c r="U57" s="789"/>
      <c r="V57" s="789"/>
      <c r="W57" s="789"/>
      <c r="X57"/>
    </row>
    <row r="58" spans="1:24" s="47" customFormat="1" ht="36" customHeight="1" x14ac:dyDescent="0.3">
      <c r="A58" s="149" t="s">
        <v>460</v>
      </c>
      <c r="B58" s="149" t="s">
        <v>171</v>
      </c>
      <c r="C58" s="77" t="s">
        <v>79</v>
      </c>
      <c r="D58" s="172" t="s">
        <v>81</v>
      </c>
      <c r="E58" s="77"/>
      <c r="F58" s="792" t="s">
        <v>461</v>
      </c>
      <c r="G58" s="792"/>
      <c r="H58" s="77" t="s">
        <v>462</v>
      </c>
      <c r="I58" s="166">
        <v>8</v>
      </c>
      <c r="J58" s="166">
        <v>16</v>
      </c>
      <c r="K58" s="83"/>
      <c r="L58" s="83"/>
      <c r="M58" s="166"/>
      <c r="N58" s="166"/>
      <c r="O58" s="83"/>
      <c r="P58" s="83"/>
      <c r="Q58" s="151">
        <v>1</v>
      </c>
      <c r="R58" s="167">
        <f>((I58*$C$12+K58)+((M58*$C$12+O58))*Q58)</f>
        <v>800</v>
      </c>
      <c r="S58" s="167">
        <f>((J58*$C$12+L58)+((N58*$C$12+P58))*Q58)</f>
        <v>1600</v>
      </c>
      <c r="T58" s="154">
        <f>I58+(M58*5)</f>
        <v>8</v>
      </c>
      <c r="U58" s="154">
        <f>J58+(N58*5)</f>
        <v>16</v>
      </c>
      <c r="V58" s="77"/>
      <c r="W58" s="169" t="s">
        <v>523</v>
      </c>
      <c r="X58"/>
    </row>
    <row r="59" spans="1:24" s="47" customFormat="1" ht="36" customHeight="1" x14ac:dyDescent="0.3">
      <c r="A59" s="149" t="s">
        <v>463</v>
      </c>
      <c r="B59" s="149" t="s">
        <v>170</v>
      </c>
      <c r="C59" s="77"/>
      <c r="D59" s="170" t="s">
        <v>83</v>
      </c>
      <c r="E59" s="77"/>
      <c r="F59" s="718" t="s">
        <v>464</v>
      </c>
      <c r="G59" s="718"/>
      <c r="H59" s="77" t="s">
        <v>462</v>
      </c>
      <c r="I59" s="166"/>
      <c r="J59" s="166"/>
      <c r="K59" s="83"/>
      <c r="L59" s="83"/>
      <c r="M59" s="166"/>
      <c r="N59" s="166"/>
      <c r="O59" s="83"/>
      <c r="P59" s="83"/>
      <c r="Q59" s="151">
        <v>5</v>
      </c>
      <c r="R59" s="167">
        <f>((I59*$C$12+K59)+((M59*$C$12+O59))*Q59)</f>
        <v>0</v>
      </c>
      <c r="S59" s="167">
        <f>((J59*$C$12+L59)+((N59*$C$12+P59))*Q59)</f>
        <v>0</v>
      </c>
      <c r="T59" s="154">
        <f>I59+(M59*5)</f>
        <v>0</v>
      </c>
      <c r="U59" s="154">
        <f>J59+(N59*5)</f>
        <v>0</v>
      </c>
      <c r="V59" s="80" t="s">
        <v>465</v>
      </c>
      <c r="W59" s="169" t="s">
        <v>523</v>
      </c>
    </row>
    <row r="60" spans="1:24" s="47" customFormat="1" ht="36" customHeight="1" x14ac:dyDescent="0.3">
      <c r="A60" s="157">
        <v>2.4</v>
      </c>
      <c r="B60" s="157"/>
      <c r="C60" s="157"/>
      <c r="D60" s="171"/>
      <c r="E60" s="157"/>
      <c r="F60" s="796" t="s">
        <v>466</v>
      </c>
      <c r="G60" s="796"/>
      <c r="H60" s="789"/>
      <c r="I60" s="789"/>
      <c r="J60" s="789"/>
      <c r="K60" s="789"/>
      <c r="L60" s="789"/>
      <c r="M60" s="789"/>
      <c r="N60" s="789"/>
      <c r="O60" s="789"/>
      <c r="P60" s="789"/>
      <c r="Q60" s="789"/>
      <c r="R60" s="789"/>
      <c r="S60" s="789"/>
      <c r="T60" s="789"/>
      <c r="U60" s="789"/>
      <c r="V60" s="789"/>
      <c r="W60" s="789"/>
    </row>
    <row r="61" spans="1:24" s="47" customFormat="1" ht="36" customHeight="1" x14ac:dyDescent="0.3">
      <c r="A61" s="149" t="s">
        <v>467</v>
      </c>
      <c r="B61" s="149" t="s">
        <v>171</v>
      </c>
      <c r="C61" s="77" t="s">
        <v>79</v>
      </c>
      <c r="D61" s="172" t="s">
        <v>81</v>
      </c>
      <c r="E61" s="77"/>
      <c r="F61" s="791" t="s">
        <v>468</v>
      </c>
      <c r="G61" s="791"/>
      <c r="H61" s="77" t="s">
        <v>469</v>
      </c>
      <c r="I61" s="166">
        <v>12</v>
      </c>
      <c r="J61" s="166">
        <v>24</v>
      </c>
      <c r="K61" s="83"/>
      <c r="L61" s="83"/>
      <c r="M61" s="166"/>
      <c r="N61" s="166"/>
      <c r="O61" s="83"/>
      <c r="P61" s="83"/>
      <c r="Q61" s="151">
        <v>1</v>
      </c>
      <c r="R61" s="167">
        <f>((I61*$C$12+K61)+((M61*$C$12+O61))*Q61)</f>
        <v>1200</v>
      </c>
      <c r="S61" s="167">
        <f>((J61*$C$12+L61)+((N61*$C$12+P61))*Q61)</f>
        <v>2400</v>
      </c>
      <c r="T61" s="154">
        <f t="shared" ref="T61:U64" si="8">I61+(M61*5)</f>
        <v>12</v>
      </c>
      <c r="U61" s="154">
        <f t="shared" si="8"/>
        <v>24</v>
      </c>
      <c r="V61" s="77" t="s">
        <v>690</v>
      </c>
      <c r="W61" s="169" t="s">
        <v>523</v>
      </c>
    </row>
    <row r="62" spans="1:24" s="47" customFormat="1" ht="36" customHeight="1" x14ac:dyDescent="0.3">
      <c r="A62" s="149" t="s">
        <v>470</v>
      </c>
      <c r="B62" s="149" t="s">
        <v>170</v>
      </c>
      <c r="C62" s="77"/>
      <c r="D62" s="165" t="s">
        <v>83</v>
      </c>
      <c r="E62" s="77"/>
      <c r="F62" s="718" t="s">
        <v>471</v>
      </c>
      <c r="G62" s="718"/>
      <c r="H62" s="77" t="s">
        <v>469</v>
      </c>
      <c r="I62" s="166"/>
      <c r="J62" s="166"/>
      <c r="K62" s="83"/>
      <c r="L62" s="83"/>
      <c r="M62" s="154">
        <f>6+(C10)</f>
        <v>9</v>
      </c>
      <c r="N62" s="166">
        <f>6+(2*C10)</f>
        <v>12</v>
      </c>
      <c r="O62" s="83"/>
      <c r="P62" s="83"/>
      <c r="Q62" s="151">
        <v>5</v>
      </c>
      <c r="R62" s="167">
        <f>((I62*$C$12+K62)+((M62*$C$12+O62))*Q62)</f>
        <v>4500</v>
      </c>
      <c r="S62" s="167">
        <f>((J62*$C$12+L62)+((N62*$C$12+P62))*Q62)</f>
        <v>6000</v>
      </c>
      <c r="T62" s="154">
        <f t="shared" si="8"/>
        <v>45</v>
      </c>
      <c r="U62" s="154">
        <f t="shared" si="8"/>
        <v>60</v>
      </c>
      <c r="V62" s="80" t="s">
        <v>689</v>
      </c>
      <c r="W62" s="169" t="s">
        <v>523</v>
      </c>
    </row>
    <row r="63" spans="1:24" s="47" customFormat="1" ht="36" customHeight="1" x14ac:dyDescent="0.3">
      <c r="A63" s="149" t="s">
        <v>472</v>
      </c>
      <c r="B63" s="149" t="s">
        <v>2</v>
      </c>
      <c r="C63" s="77"/>
      <c r="D63" s="165" t="s">
        <v>83</v>
      </c>
      <c r="E63" s="77" t="s">
        <v>91</v>
      </c>
      <c r="F63" s="718" t="s">
        <v>205</v>
      </c>
      <c r="G63" s="718"/>
      <c r="H63" s="77" t="s">
        <v>473</v>
      </c>
      <c r="I63" s="166"/>
      <c r="J63" s="166"/>
      <c r="K63" s="83"/>
      <c r="L63" s="83"/>
      <c r="M63" s="166"/>
      <c r="N63" s="166"/>
      <c r="O63" s="83"/>
      <c r="P63" s="83"/>
      <c r="Q63" s="151">
        <v>5</v>
      </c>
      <c r="R63" s="167">
        <f>((I63*$C$12+K63)+((M63*$C$12+O63))*Q63)</f>
        <v>0</v>
      </c>
      <c r="S63" s="167">
        <f>((J63*$C$12+L63)+((N63*$C$12+P63))*Q63)</f>
        <v>0</v>
      </c>
      <c r="T63" s="154">
        <f t="shared" si="8"/>
        <v>0</v>
      </c>
      <c r="U63" s="154">
        <f t="shared" si="8"/>
        <v>0</v>
      </c>
      <c r="V63" s="77" t="s">
        <v>518</v>
      </c>
      <c r="W63" s="77"/>
    </row>
    <row r="64" spans="1:24" s="47" customFormat="1" ht="36" customHeight="1" x14ac:dyDescent="0.3">
      <c r="A64" s="149" t="s">
        <v>474</v>
      </c>
      <c r="B64" s="149" t="s">
        <v>2</v>
      </c>
      <c r="C64" s="77"/>
      <c r="D64" s="165" t="s">
        <v>80</v>
      </c>
      <c r="E64" s="77"/>
      <c r="F64" s="718" t="s">
        <v>475</v>
      </c>
      <c r="G64" s="718"/>
      <c r="H64" s="77" t="s">
        <v>476</v>
      </c>
      <c r="I64" s="166"/>
      <c r="J64" s="166"/>
      <c r="K64" s="83"/>
      <c r="L64" s="83"/>
      <c r="M64" s="166"/>
      <c r="N64" s="166"/>
      <c r="O64" s="83"/>
      <c r="P64" s="83"/>
      <c r="Q64" s="151">
        <v>5</v>
      </c>
      <c r="R64" s="167">
        <f>((I64*$C$12+K64)+((M64*$C$12+O64))*Q64)</f>
        <v>0</v>
      </c>
      <c r="S64" s="167">
        <f>((J64*$C$12+L64)+((N64*$C$12+P64))*Q64)</f>
        <v>0</v>
      </c>
      <c r="T64" s="154">
        <f t="shared" si="8"/>
        <v>0</v>
      </c>
      <c r="U64" s="154">
        <f t="shared" si="8"/>
        <v>0</v>
      </c>
      <c r="V64" s="80" t="s">
        <v>498</v>
      </c>
      <c r="W64" s="169" t="s">
        <v>523</v>
      </c>
    </row>
    <row r="65" spans="1:23" s="47" customFormat="1" ht="36" customHeight="1" x14ac:dyDescent="0.3">
      <c r="A65" s="156">
        <v>3</v>
      </c>
      <c r="B65" s="156"/>
      <c r="C65" s="156"/>
      <c r="D65" s="797" t="s">
        <v>477</v>
      </c>
      <c r="E65" s="797"/>
      <c r="F65" s="797"/>
      <c r="G65" s="797"/>
      <c r="H65" s="790"/>
      <c r="I65" s="790"/>
      <c r="J65" s="790"/>
      <c r="K65" s="790"/>
      <c r="L65" s="790"/>
      <c r="M65" s="790"/>
      <c r="N65" s="790"/>
      <c r="O65" s="790"/>
      <c r="P65" s="790"/>
      <c r="Q65" s="790"/>
      <c r="R65" s="790"/>
      <c r="S65" s="790"/>
      <c r="T65" s="790"/>
      <c r="U65" s="790"/>
      <c r="V65" s="790"/>
      <c r="W65" s="790"/>
    </row>
    <row r="66" spans="1:23" s="47" customFormat="1" ht="36" customHeight="1" x14ac:dyDescent="0.3">
      <c r="A66" s="149">
        <v>3.1</v>
      </c>
      <c r="B66" s="149" t="s">
        <v>171</v>
      </c>
      <c r="C66" s="77" t="s">
        <v>97</v>
      </c>
      <c r="D66" s="168" t="s">
        <v>81</v>
      </c>
      <c r="E66" s="77"/>
      <c r="F66" s="792" t="s">
        <v>478</v>
      </c>
      <c r="G66" s="792"/>
      <c r="H66" s="77" t="s">
        <v>479</v>
      </c>
      <c r="I66" s="166"/>
      <c r="J66" s="166"/>
      <c r="K66" s="83">
        <f>C11*5000</f>
        <v>15000</v>
      </c>
      <c r="L66" s="83">
        <f>D11*5000</f>
        <v>15000</v>
      </c>
      <c r="M66" s="166"/>
      <c r="N66" s="166"/>
      <c r="O66" s="83"/>
      <c r="P66" s="83"/>
      <c r="Q66" s="151">
        <v>1</v>
      </c>
      <c r="R66" s="167">
        <f t="shared" ref="R66:R72" si="9">((I66*$C$12+K66)+((M66*$C$12+O66))*Q66)</f>
        <v>15000</v>
      </c>
      <c r="S66" s="167">
        <f t="shared" ref="S66:S72" si="10">((J66*$C$12+L66)+((N66*$C$12+P66))*Q66)</f>
        <v>15000</v>
      </c>
      <c r="T66" s="154">
        <f>I66+(M66*5)</f>
        <v>0</v>
      </c>
      <c r="U66" s="154">
        <f>J66+(N66*5)</f>
        <v>0</v>
      </c>
      <c r="V66" s="80" t="s">
        <v>571</v>
      </c>
      <c r="W66" s="77" t="s">
        <v>501</v>
      </c>
    </row>
    <row r="67" spans="1:23" s="47" customFormat="1" ht="36" customHeight="1" x14ac:dyDescent="0.3">
      <c r="A67" s="149">
        <v>3.2</v>
      </c>
      <c r="B67" s="149" t="s">
        <v>480</v>
      </c>
      <c r="C67" s="77" t="s">
        <v>97</v>
      </c>
      <c r="D67" s="165" t="s">
        <v>83</v>
      </c>
      <c r="E67" s="77"/>
      <c r="F67" s="718" t="s">
        <v>481</v>
      </c>
      <c r="G67" s="718"/>
      <c r="H67" s="77" t="s">
        <v>479</v>
      </c>
      <c r="I67" s="166"/>
      <c r="J67" s="166"/>
      <c r="K67" s="83"/>
      <c r="L67" s="83"/>
      <c r="M67" s="166"/>
      <c r="N67" s="166"/>
      <c r="O67" s="83">
        <f>1000*C11</f>
        <v>3000</v>
      </c>
      <c r="P67" s="83">
        <f>1500*D11</f>
        <v>4500</v>
      </c>
      <c r="Q67" s="151">
        <v>5</v>
      </c>
      <c r="R67" s="167">
        <f t="shared" si="9"/>
        <v>15000</v>
      </c>
      <c r="S67" s="167">
        <f t="shared" si="10"/>
        <v>22500</v>
      </c>
      <c r="T67" s="154">
        <f t="shared" ref="T67:T72" si="11">I67+(M67*5)</f>
        <v>0</v>
      </c>
      <c r="U67" s="154">
        <f t="shared" ref="U67:U72" si="12">J67+(N67*5)</f>
        <v>0</v>
      </c>
      <c r="V67" s="80" t="s">
        <v>565</v>
      </c>
      <c r="W67" s="77" t="s">
        <v>572</v>
      </c>
    </row>
    <row r="68" spans="1:23" s="47" customFormat="1" ht="36" customHeight="1" x14ac:dyDescent="0.3">
      <c r="A68" s="149">
        <v>3.3</v>
      </c>
      <c r="B68" s="149" t="s">
        <v>107</v>
      </c>
      <c r="C68" s="77"/>
      <c r="D68" s="165" t="s">
        <v>83</v>
      </c>
      <c r="E68" s="77"/>
      <c r="F68" s="724" t="s">
        <v>482</v>
      </c>
      <c r="G68" s="724"/>
      <c r="H68" s="77" t="s">
        <v>483</v>
      </c>
      <c r="I68" s="166"/>
      <c r="J68" s="166"/>
      <c r="K68" s="83"/>
      <c r="L68" s="83"/>
      <c r="M68" s="166">
        <v>12</v>
      </c>
      <c r="N68" s="166">
        <v>14</v>
      </c>
      <c r="O68" s="83"/>
      <c r="P68" s="83"/>
      <c r="Q68" s="151">
        <v>5</v>
      </c>
      <c r="R68" s="167">
        <f t="shared" si="9"/>
        <v>6000</v>
      </c>
      <c r="S68" s="167">
        <f t="shared" si="10"/>
        <v>7000</v>
      </c>
      <c r="T68" s="154">
        <f t="shared" si="11"/>
        <v>60</v>
      </c>
      <c r="U68" s="154">
        <f t="shared" si="12"/>
        <v>70</v>
      </c>
      <c r="V68" s="80" t="s">
        <v>499</v>
      </c>
      <c r="W68" s="169" t="s">
        <v>523</v>
      </c>
    </row>
    <row r="69" spans="1:23" s="47" customFormat="1" ht="36" customHeight="1" x14ac:dyDescent="0.3">
      <c r="A69" s="149">
        <v>3.4</v>
      </c>
      <c r="B69" s="149" t="s">
        <v>480</v>
      </c>
      <c r="C69" s="77"/>
      <c r="D69" s="165" t="s">
        <v>484</v>
      </c>
      <c r="E69" s="77"/>
      <c r="F69" s="724" t="s">
        <v>485</v>
      </c>
      <c r="G69" s="724"/>
      <c r="H69" s="77" t="s">
        <v>486</v>
      </c>
      <c r="I69" s="166"/>
      <c r="J69" s="166"/>
      <c r="K69" s="83"/>
      <c r="L69" s="83"/>
      <c r="M69" s="166">
        <f>8*C11</f>
        <v>24</v>
      </c>
      <c r="N69" s="166">
        <f>16*D11</f>
        <v>48</v>
      </c>
      <c r="O69" s="83"/>
      <c r="P69" s="83"/>
      <c r="Q69" s="151">
        <v>5</v>
      </c>
      <c r="R69" s="167">
        <f t="shared" si="9"/>
        <v>12000</v>
      </c>
      <c r="S69" s="167">
        <f t="shared" si="10"/>
        <v>24000</v>
      </c>
      <c r="T69" s="154">
        <f t="shared" si="11"/>
        <v>120</v>
      </c>
      <c r="U69" s="154">
        <f t="shared" si="12"/>
        <v>240</v>
      </c>
      <c r="V69" s="80" t="s">
        <v>566</v>
      </c>
      <c r="W69" s="169" t="s">
        <v>523</v>
      </c>
    </row>
    <row r="70" spans="1:23" s="47" customFormat="1" ht="36" customHeight="1" x14ac:dyDescent="0.3">
      <c r="A70" s="149">
        <v>3.5</v>
      </c>
      <c r="B70" s="149" t="s">
        <v>170</v>
      </c>
      <c r="C70" s="77"/>
      <c r="D70" s="160" t="s">
        <v>82</v>
      </c>
      <c r="E70" s="77"/>
      <c r="F70" s="793" t="s">
        <v>487</v>
      </c>
      <c r="G70" s="793"/>
      <c r="H70" s="77" t="s">
        <v>486</v>
      </c>
      <c r="I70" s="166"/>
      <c r="J70" s="166"/>
      <c r="K70" s="83"/>
      <c r="L70" s="83"/>
      <c r="M70" s="166"/>
      <c r="N70" s="166"/>
      <c r="O70" s="83"/>
      <c r="P70" s="83"/>
      <c r="Q70" s="151">
        <v>5</v>
      </c>
      <c r="R70" s="167">
        <f t="shared" si="9"/>
        <v>0</v>
      </c>
      <c r="S70" s="167">
        <f t="shared" si="10"/>
        <v>0</v>
      </c>
      <c r="T70" s="154">
        <f t="shared" si="11"/>
        <v>0</v>
      </c>
      <c r="U70" s="154">
        <f t="shared" si="12"/>
        <v>0</v>
      </c>
      <c r="V70" s="80" t="s">
        <v>500</v>
      </c>
      <c r="W70" s="169" t="s">
        <v>523</v>
      </c>
    </row>
    <row r="71" spans="1:23" s="47" customFormat="1" ht="36" customHeight="1" x14ac:dyDescent="0.3">
      <c r="A71" s="149">
        <v>3.6</v>
      </c>
      <c r="B71" s="149" t="s">
        <v>2</v>
      </c>
      <c r="C71" s="77"/>
      <c r="D71" s="165" t="s">
        <v>83</v>
      </c>
      <c r="E71" s="77" t="s">
        <v>91</v>
      </c>
      <c r="F71" s="718" t="s">
        <v>488</v>
      </c>
      <c r="G71" s="718"/>
      <c r="H71" s="77" t="s">
        <v>486</v>
      </c>
      <c r="I71" s="166"/>
      <c r="J71" s="166"/>
      <c r="K71" s="83"/>
      <c r="L71" s="83"/>
      <c r="M71" s="166"/>
      <c r="N71" s="166"/>
      <c r="O71" s="83"/>
      <c r="P71" s="83"/>
      <c r="Q71" s="151">
        <v>5</v>
      </c>
      <c r="R71" s="167">
        <f t="shared" si="9"/>
        <v>0</v>
      </c>
      <c r="S71" s="167">
        <f t="shared" si="10"/>
        <v>0</v>
      </c>
      <c r="T71" s="154">
        <f t="shared" si="11"/>
        <v>0</v>
      </c>
      <c r="U71" s="154">
        <f t="shared" si="12"/>
        <v>0</v>
      </c>
      <c r="V71" s="77" t="s">
        <v>518</v>
      </c>
      <c r="W71" s="77"/>
    </row>
    <row r="72" spans="1:23" s="47" customFormat="1" ht="36" customHeight="1" x14ac:dyDescent="0.3">
      <c r="A72" s="149">
        <v>3.7</v>
      </c>
      <c r="B72" s="149" t="s">
        <v>2</v>
      </c>
      <c r="C72" s="77"/>
      <c r="D72" s="165" t="s">
        <v>80</v>
      </c>
      <c r="E72" s="77"/>
      <c r="F72" s="718" t="s">
        <v>489</v>
      </c>
      <c r="G72" s="718"/>
      <c r="H72" s="77" t="s">
        <v>490</v>
      </c>
      <c r="I72" s="77"/>
      <c r="J72" s="77"/>
      <c r="K72" s="77"/>
      <c r="L72" s="77"/>
      <c r="M72" s="166">
        <v>8</v>
      </c>
      <c r="N72" s="166">
        <v>16</v>
      </c>
      <c r="O72" s="83"/>
      <c r="P72" s="83"/>
      <c r="Q72" s="151">
        <v>5</v>
      </c>
      <c r="R72" s="167">
        <f t="shared" si="9"/>
        <v>4000</v>
      </c>
      <c r="S72" s="167">
        <f t="shared" si="10"/>
        <v>8000</v>
      </c>
      <c r="T72" s="154">
        <f t="shared" si="11"/>
        <v>40</v>
      </c>
      <c r="U72" s="154">
        <f t="shared" si="12"/>
        <v>80</v>
      </c>
      <c r="V72" s="77"/>
      <c r="W72" s="169" t="s">
        <v>523</v>
      </c>
    </row>
    <row r="73" spans="1:23" ht="36" customHeight="1" x14ac:dyDescent="0.3">
      <c r="A73" s="77"/>
      <c r="B73" s="77"/>
      <c r="C73" s="77"/>
      <c r="D73" s="77"/>
      <c r="E73" s="77"/>
      <c r="F73" s="77"/>
      <c r="G73" s="77"/>
      <c r="H73" s="77"/>
      <c r="I73" s="77"/>
      <c r="J73" s="77"/>
      <c r="K73" s="77"/>
      <c r="L73" s="77"/>
      <c r="M73" s="77"/>
      <c r="N73" s="77"/>
      <c r="O73" s="77"/>
      <c r="P73" s="77"/>
      <c r="Q73" s="77"/>
      <c r="R73" s="77"/>
      <c r="S73" s="77"/>
      <c r="T73" s="77"/>
      <c r="U73" s="77"/>
      <c r="V73" s="77"/>
      <c r="W73" s="77"/>
    </row>
    <row r="74" spans="1:23" ht="36" customHeight="1" x14ac:dyDescent="0.3">
      <c r="A74" s="173"/>
      <c r="B74" s="173"/>
      <c r="C74" s="173"/>
      <c r="D74" s="173"/>
      <c r="E74" s="173"/>
      <c r="F74" s="173"/>
      <c r="G74" s="173"/>
      <c r="H74" s="173"/>
      <c r="I74" s="173"/>
      <c r="J74" s="173"/>
      <c r="K74" s="173"/>
      <c r="L74" s="173"/>
      <c r="M74" s="173"/>
      <c r="N74" s="173"/>
      <c r="O74" s="173"/>
      <c r="P74" s="174"/>
      <c r="Q74" s="177" t="s">
        <v>547</v>
      </c>
      <c r="R74" s="175">
        <f>ROUND((SUM(R37:R73)-(R44+R53+R46+R45)),3-(INT(LOG((SUM(R37:R73)-(R44+R53+R46+R45)))+1)))</f>
        <v>176000</v>
      </c>
      <c r="S74" s="175">
        <f>ROUND((SUM(S37:S73)-(S44+S53+S46+S45)),3-(INT(LOG((SUM(S37:S73)-(S44+S53+S46+S45)))+1)))</f>
        <v>290000</v>
      </c>
      <c r="T74" s="176">
        <f>ROUND((SUM(T37:T73)-(T44+T53+T46+T45)),3-(INT(LOG((SUM(T37:T73)-(T44+T53+T46+T45)))+1)))</f>
        <v>737</v>
      </c>
      <c r="U74" s="176">
        <f>ROUND((SUM(U37:U73)-(U44+U53+U46+U45)),3-(INT(LOG((SUM(U37:U73)-(U44+U53+U46+U45)))+1)))</f>
        <v>1080</v>
      </c>
      <c r="V74" s="173"/>
      <c r="W74" s="173"/>
    </row>
    <row r="75" spans="1:23" ht="36" customHeight="1" x14ac:dyDescent="0.3">
      <c r="A75" s="173"/>
      <c r="B75" s="173"/>
      <c r="C75" s="173"/>
      <c r="D75" s="173"/>
      <c r="E75" s="173"/>
      <c r="F75" s="173"/>
      <c r="G75" s="173"/>
      <c r="H75" s="173"/>
      <c r="I75" s="173"/>
      <c r="J75" s="173"/>
      <c r="K75" s="173"/>
      <c r="L75" s="173"/>
      <c r="M75" s="173"/>
      <c r="N75" s="173"/>
      <c r="O75" s="173"/>
      <c r="P75" s="174"/>
      <c r="Q75" s="177" t="s">
        <v>548</v>
      </c>
      <c r="R75" s="175">
        <f>ROUND((SUM(R37:R73)-(R43+R52)),3-(INT(LOG((SUM(R37:R73)-(R43+R52)))+1)))</f>
        <v>404000</v>
      </c>
      <c r="S75" s="175">
        <f>ROUND((SUM(S37:S73)-(S43+S52+S46+S45)),3-(INT(LOG((SUM(S37:S73)-(S43+S52+S46+S45)))+1)))</f>
        <v>816000</v>
      </c>
      <c r="T75" s="176">
        <f>ROUND((SUM(T37:T73)-(T43+T52)),3-(INT(LOG((SUM(T37:T73)-(T43+T52)))+1)))</f>
        <v>737</v>
      </c>
      <c r="U75" s="176">
        <f>ROUND((SUM(U37:U73)-(U43+U52+U46+U45)),3-(INT(LOG((SUM(U37:U73)-(U43+U52+U46+U45)))+1)))</f>
        <v>1080</v>
      </c>
      <c r="V75" s="173"/>
      <c r="W75" s="173"/>
    </row>
    <row r="76" spans="1:23" x14ac:dyDescent="0.3">
      <c r="A76" s="62"/>
      <c r="B76" s="62"/>
      <c r="C76" s="62"/>
      <c r="D76" s="62"/>
      <c r="E76" s="62"/>
      <c r="F76" s="62"/>
      <c r="G76" s="62"/>
      <c r="H76" s="62"/>
      <c r="I76" s="62"/>
      <c r="J76" s="62"/>
      <c r="K76" s="62"/>
      <c r="L76" s="62"/>
      <c r="M76" s="62"/>
      <c r="N76" s="62"/>
      <c r="O76" s="62"/>
      <c r="P76" s="62"/>
      <c r="Q76" s="62"/>
      <c r="R76" s="62"/>
      <c r="S76" s="62"/>
      <c r="T76" s="62"/>
      <c r="U76" s="62"/>
      <c r="V76" s="62"/>
      <c r="W76" s="62"/>
    </row>
    <row r="77" spans="1:23" x14ac:dyDescent="0.3">
      <c r="A77" s="62"/>
      <c r="B77" s="62"/>
      <c r="C77" s="62"/>
      <c r="D77" s="62"/>
      <c r="E77" s="62"/>
      <c r="F77" s="62"/>
      <c r="G77" s="62"/>
      <c r="H77" s="62"/>
      <c r="I77" s="62"/>
      <c r="J77" s="62"/>
      <c r="K77" s="62"/>
      <c r="L77" s="62"/>
      <c r="M77" s="62"/>
      <c r="N77" s="62"/>
      <c r="O77" s="62"/>
      <c r="P77" s="62"/>
      <c r="Q77" s="62"/>
      <c r="R77" s="62"/>
      <c r="S77" s="62"/>
      <c r="T77" s="62"/>
      <c r="U77" s="62"/>
      <c r="V77" s="62"/>
      <c r="W77" s="62"/>
    </row>
    <row r="78" spans="1:23" x14ac:dyDescent="0.3">
      <c r="A78" s="62"/>
      <c r="B78" s="62"/>
      <c r="C78" s="62"/>
      <c r="D78" s="62"/>
      <c r="E78" s="62"/>
      <c r="F78" s="62"/>
      <c r="G78" s="62"/>
      <c r="H78" s="62"/>
      <c r="I78" s="62"/>
      <c r="J78" s="62"/>
      <c r="K78" s="62"/>
      <c r="L78" s="62"/>
      <c r="M78" s="62"/>
      <c r="N78" s="62"/>
      <c r="O78" s="62"/>
      <c r="P78" s="62"/>
      <c r="Q78" s="62"/>
      <c r="R78" s="62"/>
      <c r="S78" s="62"/>
      <c r="T78" s="62"/>
      <c r="U78" s="62"/>
      <c r="V78" s="62"/>
      <c r="W78" s="62"/>
    </row>
  </sheetData>
  <mergeCells count="74">
    <mergeCell ref="V33:V35"/>
    <mergeCell ref="K34:L34"/>
    <mergeCell ref="M34:N34"/>
    <mergeCell ref="W33:W35"/>
    <mergeCell ref="A8:B8"/>
    <mergeCell ref="A10:B10"/>
    <mergeCell ref="O34:P34"/>
    <mergeCell ref="A33:A35"/>
    <mergeCell ref="B33:B35"/>
    <mergeCell ref="C33:C35"/>
    <mergeCell ref="D33:D35"/>
    <mergeCell ref="H33:H35"/>
    <mergeCell ref="Q34:Q35"/>
    <mergeCell ref="T34:U34"/>
    <mergeCell ref="R34:S34"/>
    <mergeCell ref="I33:L33"/>
    <mergeCell ref="M33:Q33"/>
    <mergeCell ref="I34:J34"/>
    <mergeCell ref="R33:U33"/>
    <mergeCell ref="A11:B11"/>
    <mergeCell ref="A12:B12"/>
    <mergeCell ref="A5:D5"/>
    <mergeCell ref="F37:G37"/>
    <mergeCell ref="A6:B6"/>
    <mergeCell ref="A7:B7"/>
    <mergeCell ref="A9:B9"/>
    <mergeCell ref="B15:C15"/>
    <mergeCell ref="D15:E15"/>
    <mergeCell ref="B24:C24"/>
    <mergeCell ref="D24:E24"/>
    <mergeCell ref="E33:E35"/>
    <mergeCell ref="F33:G35"/>
    <mergeCell ref="F69:G69"/>
    <mergeCell ref="F70:G70"/>
    <mergeCell ref="F71:G71"/>
    <mergeCell ref="F72:G72"/>
    <mergeCell ref="F41:G41"/>
    <mergeCell ref="F50:G50"/>
    <mergeCell ref="F57:G57"/>
    <mergeCell ref="F60:G60"/>
    <mergeCell ref="D65:G65"/>
    <mergeCell ref="F62:G62"/>
    <mergeCell ref="F63:G63"/>
    <mergeCell ref="F64:G64"/>
    <mergeCell ref="F66:G66"/>
    <mergeCell ref="F67:G67"/>
    <mergeCell ref="F68:G68"/>
    <mergeCell ref="F54:G54"/>
    <mergeCell ref="H50:W50"/>
    <mergeCell ref="F46:G46"/>
    <mergeCell ref="F47:G47"/>
    <mergeCell ref="F48:G48"/>
    <mergeCell ref="F49:G49"/>
    <mergeCell ref="F43:G43"/>
    <mergeCell ref="F42:G42"/>
    <mergeCell ref="F45:G45"/>
    <mergeCell ref="H41:W41"/>
    <mergeCell ref="H40:W40"/>
    <mergeCell ref="H60:W60"/>
    <mergeCell ref="H36:W36"/>
    <mergeCell ref="H65:W65"/>
    <mergeCell ref="F44:G44"/>
    <mergeCell ref="F53:G53"/>
    <mergeCell ref="H57:W57"/>
    <mergeCell ref="F55:G55"/>
    <mergeCell ref="F56:G56"/>
    <mergeCell ref="F58:G58"/>
    <mergeCell ref="F59:G59"/>
    <mergeCell ref="F61:G61"/>
    <mergeCell ref="F51:G51"/>
    <mergeCell ref="F52:G52"/>
    <mergeCell ref="W46:W48"/>
    <mergeCell ref="F38:G38"/>
    <mergeCell ref="F39:G39"/>
  </mergeCells>
  <pageMargins left="0.75" right="0.75" top="1" bottom="1" header="0.5" footer="0.5"/>
  <pageSetup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69"/>
  <sheetViews>
    <sheetView topLeftCell="I52" zoomScaleNormal="100" workbookViewId="0">
      <selection activeCell="S70" sqref="S70"/>
    </sheetView>
  </sheetViews>
  <sheetFormatPr defaultColWidth="8.88671875" defaultRowHeight="14.4" x14ac:dyDescent="0.3"/>
  <cols>
    <col min="1" max="1" width="10.88671875" bestFit="1" customWidth="1"/>
    <col min="2" max="2" width="10.88671875" style="1" bestFit="1" customWidth="1"/>
    <col min="3" max="3" width="10.44140625" style="1" customWidth="1"/>
    <col min="4" max="4" width="12.33203125" customWidth="1"/>
    <col min="5" max="6" width="5.6640625" style="1" customWidth="1"/>
    <col min="7" max="7" width="94.88671875" customWidth="1"/>
    <col min="8" max="8" width="23.109375" customWidth="1"/>
    <col min="9" max="10" width="10.6640625" style="21" customWidth="1"/>
    <col min="11" max="19" width="10.6640625" style="24" customWidth="1"/>
    <col min="22" max="22" width="66.109375" style="7" customWidth="1"/>
    <col min="23" max="23" width="36.88671875" customWidth="1"/>
  </cols>
  <sheetData>
    <row r="1" spans="1:30" s="27" customFormat="1" ht="30" customHeight="1" x14ac:dyDescent="0.3">
      <c r="A1" s="719" t="s">
        <v>531</v>
      </c>
      <c r="B1" s="720"/>
      <c r="C1" s="721"/>
      <c r="D1" s="47"/>
      <c r="E1" s="47"/>
      <c r="H1" s="66"/>
      <c r="I1" s="67"/>
      <c r="J1" s="67"/>
      <c r="K1" s="25"/>
      <c r="L1" s="25"/>
      <c r="M1" s="25"/>
      <c r="N1" s="25"/>
      <c r="O1" s="25"/>
      <c r="P1" s="25"/>
      <c r="Q1" s="25"/>
      <c r="R1" s="25"/>
      <c r="S1" s="25"/>
      <c r="T1"/>
      <c r="U1"/>
      <c r="V1" s="68"/>
    </row>
    <row r="2" spans="1:30" s="27" customFormat="1" ht="30" customHeight="1" x14ac:dyDescent="0.3">
      <c r="A2" s="725" t="s">
        <v>382</v>
      </c>
      <c r="B2" s="726"/>
      <c r="C2" s="119">
        <f>'Cover Sheet'!B8</f>
        <v>100</v>
      </c>
      <c r="D2" s="47"/>
      <c r="E2" s="47"/>
      <c r="H2" s="66"/>
      <c r="I2" s="67"/>
      <c r="J2" s="67"/>
      <c r="K2" s="25"/>
      <c r="L2" s="25"/>
      <c r="M2" s="25"/>
      <c r="N2" s="25"/>
      <c r="O2" s="25"/>
      <c r="P2" s="25"/>
      <c r="Q2" s="25"/>
      <c r="R2" s="25"/>
      <c r="S2" s="25"/>
      <c r="T2"/>
      <c r="U2"/>
      <c r="V2" s="68"/>
    </row>
    <row r="3" spans="1:30" s="27" customFormat="1" ht="45" customHeight="1" x14ac:dyDescent="0.3">
      <c r="A3"/>
      <c r="B3"/>
      <c r="C3"/>
      <c r="D3" s="3"/>
      <c r="E3"/>
      <c r="H3" s="66"/>
      <c r="I3" s="67"/>
      <c r="J3" s="67"/>
      <c r="K3" s="25"/>
      <c r="L3" s="25"/>
      <c r="M3" s="25"/>
      <c r="N3" s="25"/>
      <c r="O3" s="25"/>
      <c r="P3" s="25"/>
      <c r="Q3" s="25"/>
      <c r="R3" s="25"/>
      <c r="S3" s="25"/>
      <c r="T3"/>
      <c r="U3"/>
      <c r="V3" s="68"/>
    </row>
    <row r="4" spans="1:30" s="27" customFormat="1" ht="30" customHeight="1" x14ac:dyDescent="0.3">
      <c r="A4" s="72"/>
      <c r="B4" s="720" t="s">
        <v>533</v>
      </c>
      <c r="C4" s="720"/>
      <c r="D4" s="720" t="s">
        <v>294</v>
      </c>
      <c r="E4" s="721"/>
      <c r="H4" s="66"/>
      <c r="I4" s="67"/>
      <c r="J4" s="67"/>
      <c r="K4" s="25"/>
      <c r="L4" s="25"/>
      <c r="M4" s="25"/>
      <c r="N4" s="25"/>
      <c r="O4" s="25"/>
      <c r="P4" s="25"/>
      <c r="Q4" s="25"/>
      <c r="R4" s="25"/>
      <c r="S4" s="25"/>
      <c r="T4"/>
      <c r="U4"/>
      <c r="V4" s="68"/>
    </row>
    <row r="5" spans="1:30" s="27" customFormat="1" ht="30" customHeight="1" x14ac:dyDescent="0.3">
      <c r="A5" s="102"/>
      <c r="B5" s="103" t="s">
        <v>340</v>
      </c>
      <c r="C5" s="103" t="s">
        <v>341</v>
      </c>
      <c r="D5" s="103" t="s">
        <v>340</v>
      </c>
      <c r="E5" s="104" t="s">
        <v>341</v>
      </c>
      <c r="H5" s="66"/>
      <c r="I5" s="67"/>
      <c r="J5" s="67"/>
      <c r="K5" s="25"/>
      <c r="L5" s="25"/>
      <c r="M5" s="25"/>
      <c r="N5" s="25"/>
      <c r="O5" s="25"/>
      <c r="P5" s="25"/>
      <c r="Q5" s="25"/>
      <c r="R5" s="25"/>
      <c r="S5" s="25"/>
      <c r="T5"/>
      <c r="U5"/>
      <c r="V5" s="68"/>
    </row>
    <row r="6" spans="1:30" s="27" customFormat="1" ht="30" customHeight="1" x14ac:dyDescent="0.3">
      <c r="A6" s="85" t="s">
        <v>83</v>
      </c>
      <c r="B6" s="86">
        <f>0</f>
        <v>0</v>
      </c>
      <c r="C6" s="87">
        <f>((O23+O25)*C2)+Q23</f>
        <v>0</v>
      </c>
      <c r="D6" s="88">
        <f>N21+N25</f>
        <v>0</v>
      </c>
      <c r="E6" s="89">
        <f>O23+O25</f>
        <v>0</v>
      </c>
      <c r="H6" s="66"/>
      <c r="I6" s="67"/>
      <c r="J6" s="67"/>
      <c r="K6" s="25"/>
      <c r="L6" s="25"/>
      <c r="M6" s="25"/>
      <c r="N6" s="25"/>
      <c r="O6" s="25"/>
      <c r="P6" s="25"/>
      <c r="Q6" s="25"/>
      <c r="R6" s="25"/>
      <c r="S6" s="25"/>
      <c r="T6"/>
      <c r="U6"/>
      <c r="V6" s="68"/>
    </row>
    <row r="7" spans="1:30" s="27" customFormat="1" ht="30" customHeight="1" x14ac:dyDescent="0.3">
      <c r="A7" s="90" t="s">
        <v>534</v>
      </c>
      <c r="B7" s="91">
        <f>ROUND((R18+R19+R20+R21+R22+R24+R25+R28),3-(INT(LOG((R18+R19+R20+R21+R22+R24+R25+R28))+1)))</f>
        <v>5000</v>
      </c>
      <c r="C7" s="323">
        <f>ROUND((S18+S19+S20+S21+S22+S24+S25+S28),3-(INT(LOG((S18+S19+S20+S21+S22+S24+S25+S28))+1)))</f>
        <v>11200</v>
      </c>
      <c r="D7" s="286">
        <f>ROUND((T18+T19+T20+T21+T22+T24+T25+T28),3-(INT(LOG((T18+T19+T20+T21+T22+T24+T25+T28))+1)))</f>
        <v>50</v>
      </c>
      <c r="E7" s="286">
        <f>ROUND((U18+U19+U20+U21+U22+U24+U25+U28),3-(INT(LOG((U18+U19+U20+U21+U22+U24+U25+U28))+1)))</f>
        <v>112</v>
      </c>
      <c r="H7" s="66"/>
      <c r="I7" s="67"/>
      <c r="J7" s="67"/>
      <c r="K7" s="25"/>
      <c r="L7" s="25"/>
      <c r="M7" s="25"/>
      <c r="N7" s="25"/>
      <c r="O7" s="25"/>
      <c r="P7" s="25"/>
      <c r="Q7" s="25"/>
      <c r="R7" s="25"/>
      <c r="S7" s="25"/>
      <c r="T7"/>
      <c r="U7"/>
      <c r="V7" s="68"/>
    </row>
    <row r="8" spans="1:30" s="27" customFormat="1" ht="30" customHeight="1" x14ac:dyDescent="0.3">
      <c r="A8" s="94" t="s">
        <v>82</v>
      </c>
      <c r="B8" s="95">
        <f>R26</f>
        <v>0</v>
      </c>
      <c r="C8" s="95">
        <f>S26</f>
        <v>1600</v>
      </c>
      <c r="D8" s="96">
        <v>0</v>
      </c>
      <c r="E8" s="97">
        <f>U26</f>
        <v>16</v>
      </c>
      <c r="H8" s="66"/>
      <c r="I8" s="67"/>
      <c r="J8" s="67"/>
      <c r="K8" s="25"/>
      <c r="L8" s="25"/>
      <c r="M8" s="25"/>
      <c r="N8" s="25"/>
      <c r="O8" s="25"/>
      <c r="P8" s="25"/>
      <c r="Q8" s="25"/>
      <c r="R8" s="25"/>
      <c r="S8" s="25"/>
      <c r="T8"/>
      <c r="U8"/>
      <c r="V8" s="68"/>
    </row>
    <row r="9" spans="1:30" s="27" customFormat="1" ht="30" customHeight="1" x14ac:dyDescent="0.3">
      <c r="A9" s="98" t="s">
        <v>532</v>
      </c>
      <c r="B9" s="99">
        <f>R31</f>
        <v>5000</v>
      </c>
      <c r="C9" s="99">
        <f>S31</f>
        <v>11200</v>
      </c>
      <c r="D9" s="178">
        <f>T31</f>
        <v>50</v>
      </c>
      <c r="E9" s="179">
        <f>U31</f>
        <v>112</v>
      </c>
      <c r="F9" s="1"/>
      <c r="G9"/>
      <c r="H9"/>
      <c r="I9" s="21"/>
      <c r="J9" s="21"/>
      <c r="K9" s="24"/>
      <c r="L9" s="24"/>
      <c r="M9" s="24"/>
      <c r="N9" s="24"/>
      <c r="O9" s="24"/>
      <c r="P9" s="24"/>
      <c r="Q9" s="24"/>
      <c r="R9" s="24"/>
      <c r="S9" s="24"/>
      <c r="T9"/>
      <c r="U9"/>
      <c r="V9" s="7"/>
      <c r="W9"/>
    </row>
    <row r="10" spans="1:30" s="234" customFormat="1" ht="30" customHeight="1" x14ac:dyDescent="0.3">
      <c r="A10" s="829" t="s">
        <v>536</v>
      </c>
      <c r="B10" s="830"/>
      <c r="C10" s="830"/>
      <c r="D10" s="830"/>
      <c r="E10" s="831"/>
      <c r="F10" s="1"/>
      <c r="G10"/>
      <c r="H10"/>
      <c r="I10" s="21"/>
      <c r="J10" s="21"/>
      <c r="K10" s="24"/>
      <c r="L10" s="24"/>
      <c r="M10" s="24"/>
      <c r="N10" s="24"/>
      <c r="O10" s="24"/>
      <c r="P10" s="24"/>
      <c r="Q10" s="24"/>
      <c r="R10" s="24"/>
      <c r="S10" s="24"/>
      <c r="T10"/>
      <c r="U10"/>
      <c r="V10" s="7"/>
      <c r="W10"/>
    </row>
    <row r="13" spans="1:30" s="47" customFormat="1" ht="45" customHeight="1" x14ac:dyDescent="0.3">
      <c r="A13" s="859" t="s">
        <v>0</v>
      </c>
      <c r="B13" s="859" t="s">
        <v>49</v>
      </c>
      <c r="C13" s="860" t="s">
        <v>52</v>
      </c>
      <c r="D13" s="860" t="s">
        <v>136</v>
      </c>
      <c r="E13" s="860" t="s">
        <v>90</v>
      </c>
      <c r="F13" s="861" t="s">
        <v>558</v>
      </c>
      <c r="G13" s="862"/>
      <c r="H13" s="298"/>
      <c r="I13" s="851" t="s">
        <v>551</v>
      </c>
      <c r="J13" s="851"/>
      <c r="K13" s="851"/>
      <c r="L13" s="851"/>
      <c r="M13" s="851" t="s">
        <v>552</v>
      </c>
      <c r="N13" s="851"/>
      <c r="O13" s="851"/>
      <c r="P13" s="851"/>
      <c r="Q13" s="851"/>
      <c r="R13" s="852" t="s">
        <v>553</v>
      </c>
      <c r="S13" s="853"/>
      <c r="T13" s="853"/>
      <c r="U13" s="854"/>
      <c r="V13" s="855" t="s">
        <v>297</v>
      </c>
      <c r="W13" s="858" t="s">
        <v>296</v>
      </c>
    </row>
    <row r="14" spans="1:30" ht="94.5" customHeight="1" x14ac:dyDescent="0.3">
      <c r="A14" s="770"/>
      <c r="B14" s="770"/>
      <c r="C14" s="773"/>
      <c r="D14" s="773"/>
      <c r="E14" s="773"/>
      <c r="F14" s="863"/>
      <c r="G14" s="864"/>
      <c r="H14" s="858" t="s">
        <v>1</v>
      </c>
      <c r="I14" s="851" t="s">
        <v>294</v>
      </c>
      <c r="J14" s="851"/>
      <c r="K14" s="781" t="s">
        <v>504</v>
      </c>
      <c r="L14" s="781"/>
      <c r="M14" s="781" t="s">
        <v>357</v>
      </c>
      <c r="N14" s="781"/>
      <c r="O14" s="850" t="s">
        <v>504</v>
      </c>
      <c r="P14" s="850"/>
      <c r="Q14" s="299" t="s">
        <v>299</v>
      </c>
      <c r="R14" s="820" t="s">
        <v>362</v>
      </c>
      <c r="S14" s="820"/>
      <c r="T14" s="820" t="s">
        <v>526</v>
      </c>
      <c r="U14" s="820"/>
      <c r="V14" s="856"/>
      <c r="W14" s="776"/>
      <c r="Y14" s="2"/>
      <c r="Z14" s="2"/>
      <c r="AA14" s="2"/>
      <c r="AB14" s="2"/>
      <c r="AC14" s="2"/>
      <c r="AD14" s="2"/>
    </row>
    <row r="15" spans="1:30" ht="39" customHeight="1" x14ac:dyDescent="0.3">
      <c r="A15" s="771"/>
      <c r="B15" s="771"/>
      <c r="C15" s="774"/>
      <c r="D15" s="774"/>
      <c r="E15" s="774"/>
      <c r="F15" s="865"/>
      <c r="G15" s="866"/>
      <c r="H15" s="777"/>
      <c r="I15" s="300" t="s">
        <v>340</v>
      </c>
      <c r="J15" s="300" t="s">
        <v>341</v>
      </c>
      <c r="K15" s="301" t="s">
        <v>340</v>
      </c>
      <c r="L15" s="301" t="s">
        <v>341</v>
      </c>
      <c r="M15" s="301" t="s">
        <v>340</v>
      </c>
      <c r="N15" s="301" t="s">
        <v>341</v>
      </c>
      <c r="O15" s="302" t="s">
        <v>390</v>
      </c>
      <c r="P15" s="302" t="s">
        <v>341</v>
      </c>
      <c r="Q15" s="299"/>
      <c r="R15" s="301" t="s">
        <v>340</v>
      </c>
      <c r="S15" s="301" t="s">
        <v>341</v>
      </c>
      <c r="T15" s="303" t="s">
        <v>340</v>
      </c>
      <c r="U15" s="303" t="s">
        <v>341</v>
      </c>
      <c r="V15" s="857"/>
      <c r="W15" s="777"/>
      <c r="Y15" s="2"/>
      <c r="Z15" s="2"/>
      <c r="AA15" s="2"/>
      <c r="AB15" s="2"/>
      <c r="AC15" s="2"/>
      <c r="AD15" s="2"/>
    </row>
    <row r="16" spans="1:30" ht="55.65" customHeight="1" x14ac:dyDescent="0.3">
      <c r="A16" s="190">
        <v>1</v>
      </c>
      <c r="B16" s="191"/>
      <c r="C16" s="191" t="s">
        <v>51</v>
      </c>
      <c r="D16" s="191"/>
      <c r="E16" s="191" t="s">
        <v>91</v>
      </c>
      <c r="F16" s="840" t="s">
        <v>53</v>
      </c>
      <c r="G16" s="840"/>
      <c r="H16" s="191" t="s">
        <v>50</v>
      </c>
      <c r="I16" s="823"/>
      <c r="J16" s="824"/>
      <c r="K16" s="824"/>
      <c r="L16" s="824"/>
      <c r="M16" s="824"/>
      <c r="N16" s="824"/>
      <c r="O16" s="824"/>
      <c r="P16" s="824"/>
      <c r="Q16" s="824"/>
      <c r="R16" s="824"/>
      <c r="S16" s="824"/>
      <c r="T16" s="824"/>
      <c r="U16" s="824"/>
      <c r="V16" s="824"/>
      <c r="W16" s="825"/>
      <c r="X16" s="65"/>
      <c r="Y16" s="2"/>
      <c r="Z16" s="2"/>
      <c r="AA16" s="2"/>
      <c r="AB16" s="2"/>
      <c r="AC16" s="2"/>
    </row>
    <row r="17" spans="1:29" ht="46.65" customHeight="1" x14ac:dyDescent="0.3">
      <c r="A17" s="189">
        <v>1.1000000000000001</v>
      </c>
      <c r="B17" s="188"/>
      <c r="C17" s="188" t="s">
        <v>51</v>
      </c>
      <c r="D17" s="188"/>
      <c r="E17" s="188"/>
      <c r="F17" s="788" t="s">
        <v>64</v>
      </c>
      <c r="G17" s="788"/>
      <c r="H17" s="188" t="s">
        <v>47</v>
      </c>
      <c r="I17" s="826"/>
      <c r="J17" s="827"/>
      <c r="K17" s="827"/>
      <c r="L17" s="827"/>
      <c r="M17" s="827"/>
      <c r="N17" s="827"/>
      <c r="O17" s="827"/>
      <c r="P17" s="827"/>
      <c r="Q17" s="827"/>
      <c r="R17" s="827"/>
      <c r="S17" s="827"/>
      <c r="T17" s="827"/>
      <c r="U17" s="827"/>
      <c r="V17" s="827"/>
      <c r="W17" s="828"/>
      <c r="X17" s="65"/>
      <c r="Y17" s="2"/>
      <c r="Z17" s="2"/>
      <c r="AA17" s="2"/>
      <c r="AB17" s="2"/>
      <c r="AC17" s="2"/>
    </row>
    <row r="18" spans="1:29" ht="75" customHeight="1" x14ac:dyDescent="0.3">
      <c r="A18" s="200" t="s">
        <v>70</v>
      </c>
      <c r="B18" s="200" t="s">
        <v>2</v>
      </c>
      <c r="C18" s="200" t="s">
        <v>51</v>
      </c>
      <c r="D18" s="201" t="s">
        <v>81</v>
      </c>
      <c r="E18" s="200"/>
      <c r="F18" s="838" t="s">
        <v>56</v>
      </c>
      <c r="G18" s="839"/>
      <c r="H18" s="204" t="s">
        <v>54</v>
      </c>
      <c r="I18" s="205">
        <v>4</v>
      </c>
      <c r="J18" s="205">
        <v>4</v>
      </c>
      <c r="K18" s="206">
        <v>0</v>
      </c>
      <c r="L18" s="206"/>
      <c r="M18" s="205">
        <v>0</v>
      </c>
      <c r="N18" s="205"/>
      <c r="O18" s="206">
        <v>0</v>
      </c>
      <c r="P18" s="206"/>
      <c r="Q18" s="205">
        <v>0</v>
      </c>
      <c r="R18" s="206">
        <f>(I18*$C$2)+K18</f>
        <v>400</v>
      </c>
      <c r="S18" s="206">
        <f>(J18*$C$2)+L18</f>
        <v>400</v>
      </c>
      <c r="T18" s="204">
        <f>I18+(M18*5)</f>
        <v>4</v>
      </c>
      <c r="U18" s="204">
        <f t="shared" ref="T18:U22" si="0">J18+(N18*5)</f>
        <v>4</v>
      </c>
      <c r="V18" s="207" t="s">
        <v>385</v>
      </c>
      <c r="W18" s="208" t="s">
        <v>523</v>
      </c>
      <c r="X18" s="2"/>
      <c r="Y18" s="2"/>
      <c r="Z18" s="2"/>
      <c r="AA18" s="2"/>
      <c r="AB18" s="2"/>
      <c r="AC18" s="2"/>
    </row>
    <row r="19" spans="1:29" ht="75" customHeight="1" x14ac:dyDescent="0.3">
      <c r="A19" s="200" t="s">
        <v>71</v>
      </c>
      <c r="B19" s="200" t="s">
        <v>62</v>
      </c>
      <c r="C19" s="200" t="s">
        <v>51</v>
      </c>
      <c r="D19" s="201" t="s">
        <v>81</v>
      </c>
      <c r="E19" s="200"/>
      <c r="F19" s="838" t="s">
        <v>58</v>
      </c>
      <c r="G19" s="839"/>
      <c r="H19" s="204" t="s">
        <v>55</v>
      </c>
      <c r="I19" s="205">
        <v>0</v>
      </c>
      <c r="J19" s="205">
        <v>0</v>
      </c>
      <c r="K19" s="206">
        <v>0</v>
      </c>
      <c r="L19" s="206"/>
      <c r="M19" s="205">
        <v>0</v>
      </c>
      <c r="N19" s="205"/>
      <c r="O19" s="206">
        <v>0</v>
      </c>
      <c r="P19" s="206"/>
      <c r="Q19" s="205">
        <v>0</v>
      </c>
      <c r="R19" s="206">
        <f t="shared" ref="R19:S24" si="1">(I19*$C$2)+K19</f>
        <v>0</v>
      </c>
      <c r="S19" s="206">
        <f>(J19*$C$2)+L19</f>
        <v>0</v>
      </c>
      <c r="T19" s="204">
        <f t="shared" si="0"/>
        <v>0</v>
      </c>
      <c r="U19" s="204">
        <f t="shared" si="0"/>
        <v>0</v>
      </c>
      <c r="V19" s="209" t="s">
        <v>384</v>
      </c>
      <c r="W19" s="208" t="s">
        <v>523</v>
      </c>
      <c r="X19" s="2"/>
      <c r="Y19" s="2"/>
      <c r="Z19" s="2"/>
      <c r="AA19" s="2"/>
      <c r="AB19" s="2"/>
      <c r="AC19" s="2"/>
    </row>
    <row r="20" spans="1:29" ht="75" customHeight="1" x14ac:dyDescent="0.3">
      <c r="A20" s="200" t="s">
        <v>72</v>
      </c>
      <c r="B20" s="200" t="s">
        <v>62</v>
      </c>
      <c r="C20" s="200" t="s">
        <v>51</v>
      </c>
      <c r="D20" s="201" t="s">
        <v>81</v>
      </c>
      <c r="E20" s="200"/>
      <c r="F20" s="838" t="s">
        <v>261</v>
      </c>
      <c r="G20" s="839"/>
      <c r="H20" s="204" t="s">
        <v>55</v>
      </c>
      <c r="I20" s="347">
        <v>0</v>
      </c>
      <c r="J20" s="347">
        <v>16</v>
      </c>
      <c r="K20" s="206">
        <v>0</v>
      </c>
      <c r="L20" s="206"/>
      <c r="M20" s="205">
        <v>0</v>
      </c>
      <c r="N20" s="205"/>
      <c r="O20" s="206">
        <v>0</v>
      </c>
      <c r="P20" s="206"/>
      <c r="Q20" s="205">
        <v>0</v>
      </c>
      <c r="R20" s="206">
        <f t="shared" si="1"/>
        <v>0</v>
      </c>
      <c r="S20" s="206">
        <f>(J20*$C$2)+L20</f>
        <v>1600</v>
      </c>
      <c r="T20" s="204">
        <f t="shared" si="0"/>
        <v>0</v>
      </c>
      <c r="U20" s="204">
        <f t="shared" si="0"/>
        <v>16</v>
      </c>
      <c r="V20" s="207" t="s">
        <v>573</v>
      </c>
      <c r="W20" s="208" t="s">
        <v>523</v>
      </c>
      <c r="X20" s="2"/>
      <c r="Y20" s="2"/>
      <c r="Z20" s="2"/>
      <c r="AA20" s="2"/>
      <c r="AB20" s="2"/>
      <c r="AC20" s="2"/>
    </row>
    <row r="21" spans="1:29" ht="75" customHeight="1" x14ac:dyDescent="0.3">
      <c r="A21" s="200" t="s">
        <v>73</v>
      </c>
      <c r="B21" s="200" t="s">
        <v>62</v>
      </c>
      <c r="C21" s="200" t="s">
        <v>51</v>
      </c>
      <c r="D21" s="201" t="s">
        <v>81</v>
      </c>
      <c r="E21" s="200"/>
      <c r="F21" s="838" t="s">
        <v>59</v>
      </c>
      <c r="G21" s="839"/>
      <c r="H21" s="204" t="s">
        <v>57</v>
      </c>
      <c r="I21" s="347">
        <v>0</v>
      </c>
      <c r="J21" s="347">
        <v>10</v>
      </c>
      <c r="K21" s="206">
        <v>0</v>
      </c>
      <c r="L21" s="206"/>
      <c r="M21" s="205">
        <v>0</v>
      </c>
      <c r="N21" s="205"/>
      <c r="O21" s="206">
        <v>0</v>
      </c>
      <c r="P21" s="206"/>
      <c r="Q21" s="205">
        <v>0</v>
      </c>
      <c r="R21" s="206">
        <f t="shared" si="1"/>
        <v>0</v>
      </c>
      <c r="S21" s="206">
        <f>(J21*$C$2)+L21</f>
        <v>1000</v>
      </c>
      <c r="T21" s="204">
        <f t="shared" si="0"/>
        <v>0</v>
      </c>
      <c r="U21" s="204">
        <f t="shared" si="0"/>
        <v>10</v>
      </c>
      <c r="V21" s="207" t="s">
        <v>386</v>
      </c>
      <c r="W21" s="208" t="s">
        <v>523</v>
      </c>
      <c r="X21" s="2"/>
      <c r="Y21" s="2"/>
      <c r="Z21" s="2"/>
      <c r="AA21" s="2"/>
      <c r="AB21" s="2"/>
      <c r="AC21" s="2"/>
    </row>
    <row r="22" spans="1:29" ht="75" customHeight="1" x14ac:dyDescent="0.3">
      <c r="A22" s="200" t="s">
        <v>76</v>
      </c>
      <c r="B22" s="200" t="s">
        <v>2</v>
      </c>
      <c r="C22" s="200" t="s">
        <v>51</v>
      </c>
      <c r="D22" s="201" t="s">
        <v>81</v>
      </c>
      <c r="E22" s="200"/>
      <c r="F22" s="838" t="s">
        <v>60</v>
      </c>
      <c r="G22" s="839"/>
      <c r="H22" s="204" t="s">
        <v>61</v>
      </c>
      <c r="I22" s="347">
        <v>2</v>
      </c>
      <c r="J22" s="347">
        <v>2</v>
      </c>
      <c r="K22" s="206">
        <v>0</v>
      </c>
      <c r="L22" s="206"/>
      <c r="M22" s="205">
        <v>0</v>
      </c>
      <c r="N22" s="205"/>
      <c r="O22" s="206">
        <v>0</v>
      </c>
      <c r="P22" s="206"/>
      <c r="Q22" s="205">
        <v>0</v>
      </c>
      <c r="R22" s="206">
        <f t="shared" si="1"/>
        <v>200</v>
      </c>
      <c r="S22" s="206">
        <f>(J22*$C$2)+L22</f>
        <v>200</v>
      </c>
      <c r="T22" s="204">
        <f t="shared" si="0"/>
        <v>2</v>
      </c>
      <c r="U22" s="204">
        <f t="shared" si="0"/>
        <v>2</v>
      </c>
      <c r="V22" s="207" t="s">
        <v>301</v>
      </c>
      <c r="W22" s="208" t="s">
        <v>523</v>
      </c>
      <c r="X22" s="2"/>
      <c r="Y22" s="2"/>
      <c r="Z22" s="2"/>
      <c r="AA22" s="2"/>
      <c r="AB22" s="2"/>
      <c r="AC22" s="2"/>
    </row>
    <row r="23" spans="1:29" ht="75" customHeight="1" x14ac:dyDescent="0.3">
      <c r="A23" s="189">
        <v>1.2</v>
      </c>
      <c r="B23" s="188"/>
      <c r="C23" s="188" t="s">
        <v>51</v>
      </c>
      <c r="D23" s="188"/>
      <c r="E23" s="188"/>
      <c r="F23" s="788" t="s">
        <v>63</v>
      </c>
      <c r="G23" s="788"/>
      <c r="H23" s="188" t="s">
        <v>48</v>
      </c>
      <c r="I23" s="197"/>
      <c r="J23" s="197"/>
      <c r="K23" s="198"/>
      <c r="L23" s="198"/>
      <c r="M23" s="198"/>
      <c r="N23" s="198"/>
      <c r="O23" s="198"/>
      <c r="P23" s="198"/>
      <c r="Q23" s="198"/>
      <c r="R23" s="198"/>
      <c r="S23" s="198"/>
      <c r="T23" s="198"/>
      <c r="U23" s="198"/>
      <c r="V23" s="199"/>
      <c r="W23" s="188"/>
      <c r="X23" s="2"/>
      <c r="Y23" s="2"/>
      <c r="Z23" s="2"/>
      <c r="AA23" s="2"/>
      <c r="AB23" s="2"/>
      <c r="AC23" s="2"/>
    </row>
    <row r="24" spans="1:29" ht="75" customHeight="1" x14ac:dyDescent="0.3">
      <c r="A24" s="200" t="s">
        <v>74</v>
      </c>
      <c r="B24" s="200" t="s">
        <v>2</v>
      </c>
      <c r="C24" s="200" t="s">
        <v>51</v>
      </c>
      <c r="D24" s="201" t="s">
        <v>81</v>
      </c>
      <c r="E24" s="200"/>
      <c r="F24" s="832" t="s">
        <v>66</v>
      </c>
      <c r="G24" s="833"/>
      <c r="H24" s="207" t="s">
        <v>65</v>
      </c>
      <c r="I24" s="205">
        <v>4</v>
      </c>
      <c r="J24" s="205">
        <v>4</v>
      </c>
      <c r="K24" s="206">
        <v>0</v>
      </c>
      <c r="L24" s="206"/>
      <c r="M24" s="205">
        <v>0</v>
      </c>
      <c r="N24" s="205"/>
      <c r="O24" s="206">
        <v>0</v>
      </c>
      <c r="P24" s="206"/>
      <c r="Q24" s="205">
        <v>0</v>
      </c>
      <c r="R24" s="206">
        <f t="shared" si="1"/>
        <v>400</v>
      </c>
      <c r="S24" s="206">
        <f t="shared" si="1"/>
        <v>400</v>
      </c>
      <c r="T24" s="204">
        <f>I24+(M24*5)</f>
        <v>4</v>
      </c>
      <c r="U24" s="204">
        <f>J24+(N24*5)</f>
        <v>4</v>
      </c>
      <c r="V24" s="207" t="s">
        <v>387</v>
      </c>
      <c r="W24" s="208" t="s">
        <v>523</v>
      </c>
      <c r="X24" s="2"/>
      <c r="Y24" s="2"/>
      <c r="Z24" s="2"/>
      <c r="AA24" s="2"/>
      <c r="AB24" s="2"/>
      <c r="AC24" s="2"/>
    </row>
    <row r="25" spans="1:29" ht="75" customHeight="1" x14ac:dyDescent="0.3">
      <c r="A25" s="200" t="s">
        <v>75</v>
      </c>
      <c r="B25" s="200" t="s">
        <v>62</v>
      </c>
      <c r="C25" s="200" t="s">
        <v>51</v>
      </c>
      <c r="D25" s="201" t="s">
        <v>81</v>
      </c>
      <c r="E25" s="200"/>
      <c r="F25" s="832" t="s">
        <v>68</v>
      </c>
      <c r="G25" s="833"/>
      <c r="H25" s="207" t="s">
        <v>67</v>
      </c>
      <c r="I25" s="205">
        <v>0</v>
      </c>
      <c r="J25" s="205">
        <v>4</v>
      </c>
      <c r="K25" s="206">
        <v>0</v>
      </c>
      <c r="L25" s="206"/>
      <c r="M25" s="205">
        <v>0</v>
      </c>
      <c r="N25" s="205"/>
      <c r="O25" s="206">
        <v>0</v>
      </c>
      <c r="P25" s="206"/>
      <c r="Q25" s="205">
        <v>0</v>
      </c>
      <c r="R25" s="206">
        <f>(I25*$C$2)+K25</f>
        <v>0</v>
      </c>
      <c r="S25" s="206">
        <f>(J25*$C$2)+L25</f>
        <v>400</v>
      </c>
      <c r="T25" s="204">
        <f>I25+(M25*5)</f>
        <v>0</v>
      </c>
      <c r="U25" s="204">
        <f>J25+(N25*5)</f>
        <v>4</v>
      </c>
      <c r="V25" s="207" t="s">
        <v>388</v>
      </c>
      <c r="W25" s="208" t="s">
        <v>523</v>
      </c>
      <c r="X25" s="2"/>
      <c r="Y25" s="2"/>
      <c r="Z25" s="2"/>
      <c r="AA25" s="2"/>
      <c r="AB25" s="2"/>
      <c r="AC25" s="2"/>
    </row>
    <row r="26" spans="1:29" ht="75" customHeight="1" x14ac:dyDescent="0.3">
      <c r="A26" s="200" t="s">
        <v>77</v>
      </c>
      <c r="B26" s="200" t="s">
        <v>62</v>
      </c>
      <c r="C26" s="200"/>
      <c r="D26" s="211" t="s">
        <v>82</v>
      </c>
      <c r="E26" s="200"/>
      <c r="F26" s="834" t="s">
        <v>69</v>
      </c>
      <c r="G26" s="835"/>
      <c r="H26" s="207" t="s">
        <v>67</v>
      </c>
      <c r="I26" s="205">
        <v>0</v>
      </c>
      <c r="J26" s="205">
        <v>0</v>
      </c>
      <c r="K26" s="206">
        <v>0</v>
      </c>
      <c r="L26" s="206"/>
      <c r="M26" s="205">
        <v>0</v>
      </c>
      <c r="N26" s="205">
        <v>16</v>
      </c>
      <c r="O26" s="206">
        <v>0</v>
      </c>
      <c r="P26" s="206"/>
      <c r="Q26" s="205">
        <v>1</v>
      </c>
      <c r="R26" s="217">
        <f>(M26*$C$2)</f>
        <v>0</v>
      </c>
      <c r="S26" s="217">
        <f>(N26*$C$2)</f>
        <v>1600</v>
      </c>
      <c r="T26" s="211">
        <f>I26+(M26*5)</f>
        <v>0</v>
      </c>
      <c r="U26" s="211">
        <f>J26+(N26*Q26)</f>
        <v>16</v>
      </c>
      <c r="V26" s="209" t="s">
        <v>389</v>
      </c>
      <c r="W26" s="208" t="s">
        <v>523</v>
      </c>
      <c r="X26" s="2"/>
      <c r="Y26" s="2"/>
      <c r="Z26" s="2"/>
      <c r="AA26" s="2"/>
      <c r="AB26" s="2"/>
      <c r="AC26" s="2"/>
    </row>
    <row r="27" spans="1:29" ht="75" customHeight="1" x14ac:dyDescent="0.3">
      <c r="A27" s="189">
        <v>1.3</v>
      </c>
      <c r="B27" s="188"/>
      <c r="C27" s="188" t="s">
        <v>51</v>
      </c>
      <c r="D27" s="188"/>
      <c r="E27" s="188" t="s">
        <v>91</v>
      </c>
      <c r="F27" s="836" t="s">
        <v>208</v>
      </c>
      <c r="G27" s="837"/>
      <c r="H27" s="188"/>
      <c r="I27" s="197"/>
      <c r="J27" s="197"/>
      <c r="K27" s="198"/>
      <c r="L27" s="198"/>
      <c r="M27" s="198"/>
      <c r="N27" s="198"/>
      <c r="O27" s="198"/>
      <c r="P27" s="198"/>
      <c r="Q27" s="198"/>
      <c r="R27" s="198"/>
      <c r="S27" s="198"/>
      <c r="T27" s="198"/>
      <c r="U27" s="198"/>
      <c r="V27" s="199"/>
      <c r="W27" s="188"/>
    </row>
    <row r="28" spans="1:29" ht="75" customHeight="1" x14ac:dyDescent="0.3">
      <c r="A28" s="200" t="s">
        <v>213</v>
      </c>
      <c r="B28" s="204" t="s">
        <v>2</v>
      </c>
      <c r="C28" s="204" t="s">
        <v>51</v>
      </c>
      <c r="D28" s="203" t="s">
        <v>81</v>
      </c>
      <c r="E28" s="204"/>
      <c r="F28" s="821" t="s">
        <v>209</v>
      </c>
      <c r="G28" s="822"/>
      <c r="H28" s="213" t="s">
        <v>210</v>
      </c>
      <c r="I28" s="841">
        <v>40</v>
      </c>
      <c r="J28" s="843">
        <v>72</v>
      </c>
      <c r="K28" s="842">
        <v>0</v>
      </c>
      <c r="L28" s="842"/>
      <c r="M28" s="843">
        <v>0</v>
      </c>
      <c r="N28" s="842"/>
      <c r="O28" s="843">
        <v>0</v>
      </c>
      <c r="P28" s="843"/>
      <c r="Q28" s="843">
        <v>0</v>
      </c>
      <c r="R28" s="844">
        <f>I28*$C$2</f>
        <v>4000</v>
      </c>
      <c r="S28" s="844">
        <f>J28*$C$2</f>
        <v>7200</v>
      </c>
      <c r="T28" s="848">
        <f>I28+(M28*5)</f>
        <v>40</v>
      </c>
      <c r="U28" s="848">
        <f>J28+(N28*5)</f>
        <v>72</v>
      </c>
      <c r="V28" s="849" t="s">
        <v>513</v>
      </c>
      <c r="W28" s="847" t="s">
        <v>523</v>
      </c>
    </row>
    <row r="29" spans="1:29" ht="75" customHeight="1" x14ac:dyDescent="0.3">
      <c r="A29" s="200" t="s">
        <v>214</v>
      </c>
      <c r="B29" s="204" t="s">
        <v>2</v>
      </c>
      <c r="C29" s="204" t="s">
        <v>51</v>
      </c>
      <c r="D29" s="203" t="s">
        <v>81</v>
      </c>
      <c r="E29" s="204"/>
      <c r="F29" s="838" t="s">
        <v>211</v>
      </c>
      <c r="G29" s="839"/>
      <c r="H29" s="215" t="s">
        <v>210</v>
      </c>
      <c r="I29" s="841"/>
      <c r="J29" s="843"/>
      <c r="K29" s="842"/>
      <c r="L29" s="842"/>
      <c r="M29" s="843"/>
      <c r="N29" s="842"/>
      <c r="O29" s="843"/>
      <c r="P29" s="843"/>
      <c r="Q29" s="843"/>
      <c r="R29" s="845"/>
      <c r="S29" s="845"/>
      <c r="T29" s="848"/>
      <c r="U29" s="848"/>
      <c r="V29" s="849"/>
      <c r="W29" s="847"/>
    </row>
    <row r="30" spans="1:29" ht="75" customHeight="1" x14ac:dyDescent="0.3">
      <c r="A30" s="200" t="s">
        <v>215</v>
      </c>
      <c r="B30" s="204" t="s">
        <v>107</v>
      </c>
      <c r="C30" s="204" t="s">
        <v>51</v>
      </c>
      <c r="D30" s="203" t="s">
        <v>81</v>
      </c>
      <c r="E30" s="204"/>
      <c r="F30" s="821" t="s">
        <v>212</v>
      </c>
      <c r="G30" s="822"/>
      <c r="H30" s="215" t="s">
        <v>210</v>
      </c>
      <c r="I30" s="841"/>
      <c r="J30" s="843"/>
      <c r="K30" s="842"/>
      <c r="L30" s="842"/>
      <c r="M30" s="843"/>
      <c r="N30" s="842"/>
      <c r="O30" s="843"/>
      <c r="P30" s="843"/>
      <c r="Q30" s="843"/>
      <c r="R30" s="846"/>
      <c r="S30" s="846"/>
      <c r="T30" s="848"/>
      <c r="U30" s="848"/>
      <c r="V30" s="849"/>
      <c r="W30" s="209" t="s">
        <v>302</v>
      </c>
    </row>
    <row r="31" spans="1:29" ht="54" customHeight="1" x14ac:dyDescent="0.3">
      <c r="A31" s="218"/>
      <c r="B31" s="218"/>
      <c r="C31" s="218"/>
      <c r="D31" s="219"/>
      <c r="E31" s="218"/>
      <c r="F31" s="218"/>
      <c r="G31" s="218"/>
      <c r="H31" s="220"/>
      <c r="I31" s="221"/>
      <c r="J31" s="221"/>
      <c r="K31" s="222"/>
      <c r="L31" s="222"/>
      <c r="M31" s="222"/>
      <c r="N31" s="222"/>
      <c r="O31" s="222"/>
      <c r="P31" s="222"/>
      <c r="Q31" s="223" t="s">
        <v>537</v>
      </c>
      <c r="R31" s="224">
        <f>ROUND((SUM(R16:R30)-R26),3-(INT(LOG((SUM(R16:R30)-R26))+1)))</f>
        <v>5000</v>
      </c>
      <c r="S31" s="352">
        <f>ROUND((SUM(S16:S30)-S26),3-(INT(LOG((SUM(S16:S30)-S26))+1)))</f>
        <v>11200</v>
      </c>
      <c r="T31" s="353">
        <f>ROUND((SUM(T16:T30)-T26),3-(INT(LOG((SUM(T16:T30)-T26))+1)))</f>
        <v>50</v>
      </c>
      <c r="U31" s="353">
        <f>ROUND((SUM(U16:U30)-U26),3-(INT(LOG((SUM(U16:U30)-U26))+1)))</f>
        <v>112</v>
      </c>
      <c r="V31" s="225"/>
      <c r="W31" s="218"/>
    </row>
    <row r="32" spans="1:29" ht="75" customHeight="1" x14ac:dyDescent="0.3">
      <c r="A32" s="62"/>
      <c r="B32" s="62"/>
      <c r="C32" s="62"/>
      <c r="D32" s="46"/>
      <c r="E32" s="62"/>
      <c r="F32" s="62"/>
      <c r="G32" s="62"/>
      <c r="H32" s="62"/>
      <c r="I32" s="17"/>
      <c r="J32" s="17"/>
      <c r="K32" s="56"/>
      <c r="L32" s="56"/>
      <c r="M32" s="56"/>
      <c r="N32" s="56"/>
      <c r="O32" s="56"/>
      <c r="P32" s="56"/>
      <c r="Q32" s="56"/>
      <c r="R32" s="56"/>
      <c r="S32" s="56"/>
      <c r="T32" s="62"/>
      <c r="U32" s="62"/>
      <c r="V32" s="63"/>
      <c r="W32" s="62"/>
    </row>
    <row r="33" spans="2:22" x14ac:dyDescent="0.3">
      <c r="B33"/>
      <c r="C33"/>
      <c r="D33" s="3"/>
      <c r="E33"/>
      <c r="F33"/>
      <c r="I33"/>
      <c r="J33"/>
      <c r="K33"/>
      <c r="L33"/>
      <c r="M33"/>
      <c r="N33"/>
      <c r="O33"/>
      <c r="P33"/>
      <c r="Q33"/>
      <c r="R33"/>
      <c r="S33"/>
      <c r="V33"/>
    </row>
    <row r="34" spans="2:22" x14ac:dyDescent="0.3">
      <c r="B34"/>
      <c r="C34"/>
      <c r="D34" s="11"/>
      <c r="E34"/>
      <c r="F34"/>
      <c r="I34"/>
      <c r="J34"/>
      <c r="K34"/>
      <c r="L34"/>
      <c r="M34"/>
      <c r="N34"/>
      <c r="O34"/>
      <c r="P34"/>
      <c r="Q34"/>
      <c r="R34"/>
      <c r="S34"/>
      <c r="V34"/>
    </row>
    <row r="35" spans="2:22" x14ac:dyDescent="0.3">
      <c r="B35"/>
      <c r="C35"/>
      <c r="D35" s="11"/>
      <c r="E35"/>
      <c r="F35"/>
      <c r="I35"/>
      <c r="J35"/>
      <c r="K35"/>
      <c r="L35"/>
      <c r="M35"/>
      <c r="N35"/>
      <c r="O35"/>
      <c r="P35"/>
      <c r="Q35"/>
      <c r="R35"/>
      <c r="S35"/>
      <c r="V35"/>
    </row>
    <row r="36" spans="2:22" x14ac:dyDescent="0.3">
      <c r="B36"/>
      <c r="C36"/>
      <c r="D36" s="11"/>
      <c r="E36"/>
      <c r="F36"/>
      <c r="I36"/>
      <c r="J36"/>
      <c r="K36"/>
      <c r="L36"/>
      <c r="M36"/>
      <c r="N36"/>
      <c r="O36"/>
      <c r="P36"/>
      <c r="Q36"/>
      <c r="R36"/>
      <c r="S36"/>
      <c r="V36"/>
    </row>
    <row r="37" spans="2:22" x14ac:dyDescent="0.3">
      <c r="B37"/>
      <c r="C37"/>
      <c r="D37" s="11"/>
      <c r="E37"/>
      <c r="F37"/>
      <c r="I37"/>
      <c r="J37"/>
      <c r="K37"/>
      <c r="L37"/>
      <c r="M37"/>
      <c r="N37"/>
      <c r="O37"/>
      <c r="P37"/>
      <c r="Q37"/>
      <c r="R37"/>
      <c r="S37"/>
      <c r="V37"/>
    </row>
    <row r="38" spans="2:22" x14ac:dyDescent="0.3">
      <c r="B38"/>
      <c r="C38"/>
      <c r="D38" s="11"/>
      <c r="E38"/>
      <c r="F38"/>
      <c r="I38"/>
      <c r="J38"/>
      <c r="K38"/>
      <c r="L38"/>
      <c r="M38"/>
      <c r="N38"/>
      <c r="O38"/>
      <c r="P38"/>
      <c r="Q38"/>
      <c r="R38"/>
      <c r="S38"/>
      <c r="V38"/>
    </row>
    <row r="39" spans="2:22" x14ac:dyDescent="0.3">
      <c r="B39"/>
      <c r="C39"/>
      <c r="D39" s="3"/>
      <c r="E39"/>
      <c r="F39"/>
      <c r="I39"/>
      <c r="J39"/>
      <c r="K39"/>
      <c r="L39"/>
      <c r="M39"/>
      <c r="N39"/>
      <c r="O39"/>
      <c r="P39"/>
      <c r="Q39"/>
      <c r="R39"/>
      <c r="S39"/>
      <c r="V39"/>
    </row>
    <row r="40" spans="2:22" x14ac:dyDescent="0.3">
      <c r="B40"/>
      <c r="C40"/>
      <c r="D40" s="3"/>
      <c r="E40"/>
      <c r="F40"/>
      <c r="I40"/>
      <c r="J40"/>
      <c r="K40"/>
      <c r="L40"/>
      <c r="M40"/>
      <c r="N40"/>
      <c r="O40"/>
      <c r="P40"/>
      <c r="Q40"/>
      <c r="R40"/>
      <c r="S40"/>
      <c r="V40"/>
    </row>
    <row r="41" spans="2:22" x14ac:dyDescent="0.3">
      <c r="B41"/>
      <c r="C41"/>
      <c r="D41" s="3"/>
      <c r="E41"/>
      <c r="F41"/>
      <c r="I41"/>
      <c r="J41"/>
      <c r="K41"/>
      <c r="L41"/>
      <c r="M41"/>
      <c r="N41"/>
      <c r="O41"/>
      <c r="P41"/>
      <c r="Q41"/>
      <c r="R41"/>
      <c r="S41"/>
      <c r="V41"/>
    </row>
    <row r="42" spans="2:22" x14ac:dyDescent="0.3">
      <c r="B42"/>
      <c r="C42"/>
      <c r="D42" s="3"/>
      <c r="E42"/>
      <c r="F42"/>
      <c r="I42"/>
      <c r="J42"/>
      <c r="K42"/>
      <c r="L42"/>
      <c r="M42"/>
      <c r="N42"/>
      <c r="O42"/>
      <c r="P42"/>
      <c r="Q42"/>
      <c r="R42"/>
      <c r="S42"/>
      <c r="V42"/>
    </row>
    <row r="43" spans="2:22" x14ac:dyDescent="0.3">
      <c r="B43"/>
      <c r="C43"/>
      <c r="D43" s="8"/>
      <c r="E43"/>
      <c r="F43"/>
      <c r="I43"/>
      <c r="J43"/>
      <c r="K43"/>
      <c r="L43"/>
      <c r="M43"/>
      <c r="N43"/>
      <c r="O43"/>
      <c r="P43"/>
      <c r="Q43"/>
      <c r="R43"/>
      <c r="S43"/>
      <c r="V43"/>
    </row>
    <row r="44" spans="2:22" x14ac:dyDescent="0.3">
      <c r="B44"/>
      <c r="C44"/>
      <c r="D44" s="8"/>
      <c r="E44"/>
      <c r="F44"/>
      <c r="I44"/>
      <c r="J44"/>
      <c r="K44"/>
      <c r="L44"/>
      <c r="M44"/>
      <c r="N44"/>
      <c r="O44"/>
      <c r="P44"/>
      <c r="Q44"/>
      <c r="R44"/>
      <c r="S44"/>
      <c r="V44"/>
    </row>
    <row r="45" spans="2:22" x14ac:dyDescent="0.3">
      <c r="B45"/>
      <c r="C45"/>
      <c r="D45" s="3"/>
      <c r="E45"/>
      <c r="F45"/>
      <c r="I45"/>
      <c r="J45"/>
      <c r="K45"/>
      <c r="L45"/>
      <c r="M45"/>
      <c r="N45"/>
      <c r="O45"/>
      <c r="P45"/>
      <c r="Q45"/>
      <c r="R45"/>
      <c r="S45"/>
      <c r="V45"/>
    </row>
    <row r="46" spans="2:22" x14ac:dyDescent="0.3">
      <c r="B46"/>
      <c r="C46"/>
      <c r="D46" s="3"/>
      <c r="E46"/>
      <c r="F46"/>
      <c r="I46"/>
      <c r="J46"/>
      <c r="K46"/>
      <c r="L46"/>
      <c r="M46"/>
      <c r="N46"/>
      <c r="O46"/>
      <c r="P46"/>
      <c r="Q46"/>
      <c r="R46"/>
      <c r="S46"/>
      <c r="V46"/>
    </row>
    <row r="47" spans="2:22" x14ac:dyDescent="0.3">
      <c r="B47"/>
      <c r="C47"/>
      <c r="D47" s="3"/>
      <c r="E47"/>
      <c r="F47"/>
      <c r="I47"/>
      <c r="J47"/>
      <c r="K47"/>
      <c r="L47"/>
      <c r="M47"/>
      <c r="N47"/>
      <c r="O47"/>
      <c r="P47"/>
      <c r="Q47"/>
      <c r="R47"/>
      <c r="S47"/>
      <c r="V47"/>
    </row>
    <row r="48" spans="2:22" x14ac:dyDescent="0.3">
      <c r="B48"/>
      <c r="C48"/>
      <c r="D48" s="3"/>
      <c r="E48"/>
      <c r="F48"/>
      <c r="I48"/>
      <c r="J48"/>
      <c r="K48"/>
      <c r="L48"/>
      <c r="M48"/>
      <c r="N48"/>
      <c r="O48"/>
      <c r="P48"/>
      <c r="Q48"/>
      <c r="R48"/>
      <c r="S48"/>
      <c r="V48"/>
    </row>
    <row r="49" spans="2:22" x14ac:dyDescent="0.3">
      <c r="B49"/>
      <c r="C49"/>
      <c r="D49" s="3"/>
      <c r="E49"/>
      <c r="F49"/>
      <c r="I49"/>
      <c r="J49"/>
      <c r="K49"/>
      <c r="L49"/>
      <c r="M49"/>
      <c r="N49"/>
      <c r="O49"/>
      <c r="P49"/>
      <c r="Q49"/>
      <c r="R49"/>
      <c r="S49"/>
      <c r="V49"/>
    </row>
    <row r="50" spans="2:22" x14ac:dyDescent="0.3">
      <c r="B50"/>
      <c r="C50"/>
      <c r="D50" s="3"/>
      <c r="E50"/>
      <c r="F50"/>
      <c r="I50"/>
      <c r="J50"/>
      <c r="K50"/>
      <c r="L50"/>
      <c r="M50"/>
      <c r="N50"/>
      <c r="O50"/>
      <c r="P50"/>
      <c r="Q50"/>
      <c r="R50"/>
      <c r="S50"/>
      <c r="V50"/>
    </row>
    <row r="51" spans="2:22" x14ac:dyDescent="0.3">
      <c r="B51"/>
      <c r="C51"/>
      <c r="D51" s="3"/>
      <c r="E51"/>
      <c r="F51"/>
      <c r="I51"/>
      <c r="J51"/>
      <c r="K51"/>
      <c r="L51"/>
      <c r="M51"/>
      <c r="N51"/>
      <c r="O51"/>
      <c r="P51"/>
      <c r="Q51"/>
      <c r="R51"/>
      <c r="S51"/>
      <c r="V51"/>
    </row>
    <row r="52" spans="2:22" x14ac:dyDescent="0.3">
      <c r="B52"/>
      <c r="C52"/>
      <c r="D52" s="2"/>
      <c r="E52"/>
      <c r="F52"/>
      <c r="I52"/>
      <c r="J52"/>
      <c r="K52"/>
      <c r="L52"/>
      <c r="M52"/>
      <c r="N52"/>
      <c r="O52"/>
      <c r="P52"/>
      <c r="Q52"/>
      <c r="R52"/>
      <c r="S52"/>
      <c r="V52"/>
    </row>
    <row r="69" spans="19:19" x14ac:dyDescent="0.3">
      <c r="S69" s="24">
        <v>50</v>
      </c>
    </row>
  </sheetData>
  <mergeCells count="54">
    <mergeCell ref="R13:U13"/>
    <mergeCell ref="V13:V15"/>
    <mergeCell ref="W13:W15"/>
    <mergeCell ref="H14:H15"/>
    <mergeCell ref="A13:A15"/>
    <mergeCell ref="B13:B15"/>
    <mergeCell ref="C13:C15"/>
    <mergeCell ref="D13:D15"/>
    <mergeCell ref="E13:E15"/>
    <mergeCell ref="F13:G15"/>
    <mergeCell ref="M13:Q13"/>
    <mergeCell ref="I13:L13"/>
    <mergeCell ref="R28:R30"/>
    <mergeCell ref="J28:J30"/>
    <mergeCell ref="W28:W29"/>
    <mergeCell ref="T14:U14"/>
    <mergeCell ref="T28:T30"/>
    <mergeCell ref="U28:U30"/>
    <mergeCell ref="N28:N30"/>
    <mergeCell ref="L28:L30"/>
    <mergeCell ref="P28:P30"/>
    <mergeCell ref="V28:V30"/>
    <mergeCell ref="S28:S30"/>
    <mergeCell ref="R14:S14"/>
    <mergeCell ref="O14:P14"/>
    <mergeCell ref="K14:L14"/>
    <mergeCell ref="M14:N14"/>
    <mergeCell ref="I14:J14"/>
    <mergeCell ref="I28:I30"/>
    <mergeCell ref="K28:K30"/>
    <mergeCell ref="M28:M30"/>
    <mergeCell ref="O28:O30"/>
    <mergeCell ref="Q28:Q30"/>
    <mergeCell ref="F22:G22"/>
    <mergeCell ref="A1:C1"/>
    <mergeCell ref="A2:B2"/>
    <mergeCell ref="B4:C4"/>
    <mergeCell ref="D4:E4"/>
    <mergeCell ref="F30:G30"/>
    <mergeCell ref="I16:W17"/>
    <mergeCell ref="A10:E10"/>
    <mergeCell ref="F24:G24"/>
    <mergeCell ref="F25:G25"/>
    <mergeCell ref="F26:G26"/>
    <mergeCell ref="F27:G27"/>
    <mergeCell ref="F28:G28"/>
    <mergeCell ref="F29:G29"/>
    <mergeCell ref="F16:G16"/>
    <mergeCell ref="F17:G17"/>
    <mergeCell ref="F23:G23"/>
    <mergeCell ref="F18:G18"/>
    <mergeCell ref="F19:G19"/>
    <mergeCell ref="F20:G20"/>
    <mergeCell ref="F21:G21"/>
  </mergeCells>
  <pageMargins left="0.7" right="0.7" top="0.75" bottom="0.75" header="0.3" footer="0.3"/>
  <pageSetup scale="24"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83"/>
  <sheetViews>
    <sheetView zoomScale="85" zoomScaleNormal="85" workbookViewId="0">
      <pane xSplit="5" ySplit="14" topLeftCell="F15" activePane="bottomRight" state="frozen"/>
      <selection activeCell="G23" sqref="G23"/>
      <selection pane="topRight" activeCell="G23" sqref="G23"/>
      <selection pane="bottomLeft" activeCell="G23" sqref="G23"/>
      <selection pane="bottomRight" activeCell="A18" sqref="A18"/>
    </sheetView>
  </sheetViews>
  <sheetFormatPr defaultColWidth="8.88671875" defaultRowHeight="14.4" x14ac:dyDescent="0.3"/>
  <cols>
    <col min="1" max="1" width="10.44140625" bestFit="1" customWidth="1"/>
    <col min="2" max="3" width="10.44140625" style="1" customWidth="1"/>
    <col min="4" max="4" width="12.33203125" customWidth="1"/>
    <col min="5" max="5" width="11" style="1" customWidth="1"/>
    <col min="6" max="6" width="5.6640625" style="1" customWidth="1"/>
    <col min="7" max="7" width="94.88671875" customWidth="1"/>
    <col min="8" max="8" width="16.109375" customWidth="1"/>
    <col min="9" max="10" width="10.6640625" style="21" customWidth="1"/>
    <col min="11" max="21" width="10.6640625" style="24" customWidth="1"/>
    <col min="22" max="22" width="57.44140625" style="7" customWidth="1"/>
    <col min="23" max="23" width="36.88671875" customWidth="1"/>
  </cols>
  <sheetData>
    <row r="1" spans="1:23" x14ac:dyDescent="0.3">
      <c r="G1" s="27"/>
      <c r="H1" s="41"/>
      <c r="I1" s="42"/>
      <c r="J1" s="42"/>
    </row>
    <row r="2" spans="1:23" s="27" customFormat="1" ht="30" customHeight="1" x14ac:dyDescent="0.3">
      <c r="A2" s="719" t="s">
        <v>531</v>
      </c>
      <c r="B2" s="720"/>
      <c r="C2" s="721"/>
      <c r="D2" s="47"/>
      <c r="E2" s="47"/>
      <c r="H2" s="66"/>
      <c r="I2" s="67"/>
      <c r="J2" s="67"/>
      <c r="K2" s="25"/>
      <c r="L2" s="25"/>
      <c r="M2" s="25"/>
      <c r="N2" s="25"/>
      <c r="O2" s="25"/>
      <c r="P2" s="25"/>
      <c r="Q2" s="25"/>
      <c r="R2" s="25"/>
      <c r="S2" s="25"/>
      <c r="T2"/>
      <c r="U2"/>
      <c r="V2" s="68"/>
    </row>
    <row r="3" spans="1:23" s="27" customFormat="1" ht="30" customHeight="1" x14ac:dyDescent="0.3">
      <c r="A3" s="725" t="s">
        <v>382</v>
      </c>
      <c r="B3" s="726"/>
      <c r="C3" s="119">
        <f>'Cover Sheet'!B8</f>
        <v>100</v>
      </c>
      <c r="D3" s="47"/>
      <c r="E3" s="47"/>
      <c r="H3" s="66"/>
      <c r="I3" s="67"/>
      <c r="J3" s="67"/>
      <c r="K3" s="25"/>
      <c r="L3" s="25"/>
      <c r="M3" s="25"/>
      <c r="N3" s="25"/>
      <c r="O3" s="25"/>
      <c r="P3" s="25"/>
      <c r="Q3" s="25"/>
      <c r="R3" s="25"/>
      <c r="S3" s="25"/>
      <c r="T3"/>
      <c r="U3"/>
      <c r="V3" s="68"/>
    </row>
    <row r="4" spans="1:23" s="27" customFormat="1" ht="45" customHeight="1" x14ac:dyDescent="0.3">
      <c r="A4"/>
      <c r="B4"/>
      <c r="C4"/>
      <c r="D4" s="3"/>
      <c r="E4"/>
      <c r="H4" s="66"/>
      <c r="I4" s="67"/>
      <c r="J4" s="67"/>
      <c r="K4" s="25"/>
      <c r="L4" s="25"/>
      <c r="M4" s="25"/>
      <c r="N4" s="25"/>
      <c r="O4" s="25"/>
      <c r="P4" s="25"/>
      <c r="Q4" s="25"/>
      <c r="R4" s="25"/>
      <c r="S4" s="25"/>
      <c r="T4"/>
      <c r="U4"/>
      <c r="V4" s="68"/>
    </row>
    <row r="5" spans="1:23" s="27" customFormat="1" ht="30" customHeight="1" x14ac:dyDescent="0.3">
      <c r="A5" s="72"/>
      <c r="B5" s="720" t="s">
        <v>533</v>
      </c>
      <c r="C5" s="720"/>
      <c r="D5" s="720" t="s">
        <v>294</v>
      </c>
      <c r="E5" s="721"/>
      <c r="H5" s="66"/>
      <c r="I5" s="67"/>
      <c r="J5" s="67"/>
      <c r="K5" s="25"/>
      <c r="L5" s="25"/>
      <c r="M5" s="25"/>
      <c r="N5" s="25"/>
      <c r="O5" s="25"/>
      <c r="P5" s="25"/>
      <c r="Q5" s="25"/>
      <c r="R5" s="25"/>
      <c r="S5" s="25"/>
      <c r="T5"/>
      <c r="U5"/>
      <c r="V5" s="68"/>
    </row>
    <row r="6" spans="1:23" s="27" customFormat="1" ht="30" customHeight="1" x14ac:dyDescent="0.3">
      <c r="A6" s="102"/>
      <c r="B6" s="103" t="s">
        <v>340</v>
      </c>
      <c r="C6" s="103" t="s">
        <v>341</v>
      </c>
      <c r="D6" s="103" t="s">
        <v>340</v>
      </c>
      <c r="E6" s="104" t="s">
        <v>341</v>
      </c>
      <c r="H6" s="66"/>
      <c r="I6" s="67"/>
      <c r="J6" s="67"/>
      <c r="K6" s="25"/>
      <c r="L6" s="25"/>
      <c r="M6" s="25"/>
      <c r="N6" s="25"/>
      <c r="O6" s="25"/>
      <c r="P6" s="25"/>
      <c r="Q6" s="25"/>
      <c r="R6" s="25"/>
      <c r="S6" s="25"/>
      <c r="T6"/>
      <c r="U6"/>
      <c r="V6" s="68"/>
    </row>
    <row r="7" spans="1:23" s="27" customFormat="1" ht="30" customHeight="1" x14ac:dyDescent="0.3">
      <c r="A7" s="85" t="s">
        <v>83</v>
      </c>
      <c r="B7" s="86">
        <f>R18</f>
        <v>0</v>
      </c>
      <c r="C7" s="87">
        <f>S18</f>
        <v>0</v>
      </c>
      <c r="D7" s="232">
        <f>T18</f>
        <v>0</v>
      </c>
      <c r="E7" s="233">
        <f>U18</f>
        <v>0</v>
      </c>
      <c r="H7" s="66"/>
      <c r="I7" s="67"/>
      <c r="J7" s="67"/>
      <c r="K7" s="25"/>
      <c r="L7" s="25"/>
      <c r="M7" s="25"/>
      <c r="N7" s="25"/>
      <c r="O7" s="25"/>
      <c r="P7" s="25"/>
      <c r="Q7" s="25"/>
      <c r="R7" s="25"/>
      <c r="S7" s="25"/>
      <c r="T7"/>
      <c r="U7"/>
      <c r="V7" s="68"/>
    </row>
    <row r="8" spans="1:23" s="27" customFormat="1" ht="30" customHeight="1" x14ac:dyDescent="0.3">
      <c r="A8" s="90" t="s">
        <v>534</v>
      </c>
      <c r="B8" s="91">
        <f>ROUND(R17,3-(INT(LOG(R17))+1))</f>
        <v>12800</v>
      </c>
      <c r="C8" s="323">
        <f>ROUND(S17,3-(INT(LOG(S17))+1))</f>
        <v>20400</v>
      </c>
      <c r="D8" s="286">
        <f>ROUND(T17,3-(INT(LOG(T17))+1))</f>
        <v>128</v>
      </c>
      <c r="E8" s="286">
        <f>ROUND(U17,3-(INT(LOG(U17))+1))</f>
        <v>204</v>
      </c>
      <c r="H8" s="66"/>
      <c r="I8" s="67"/>
      <c r="J8" s="67"/>
      <c r="K8" s="25"/>
      <c r="L8" s="25"/>
      <c r="M8" s="25"/>
      <c r="N8" s="25"/>
      <c r="O8" s="25"/>
      <c r="P8" s="25"/>
      <c r="Q8" s="25"/>
      <c r="R8" s="25"/>
      <c r="S8" s="25"/>
      <c r="T8"/>
      <c r="U8"/>
      <c r="V8" s="68"/>
    </row>
    <row r="9" spans="1:23" s="27" customFormat="1" ht="30" customHeight="1" x14ac:dyDescent="0.3">
      <c r="A9" s="94" t="s">
        <v>82</v>
      </c>
      <c r="B9" s="95">
        <v>0</v>
      </c>
      <c r="C9" s="95">
        <v>0</v>
      </c>
      <c r="D9" s="96">
        <v>0</v>
      </c>
      <c r="E9" s="97">
        <v>0</v>
      </c>
      <c r="H9" s="66"/>
      <c r="I9" s="67"/>
      <c r="J9" s="67"/>
      <c r="K9" s="25"/>
      <c r="L9" s="25"/>
      <c r="M9" s="25"/>
      <c r="N9" s="25"/>
      <c r="O9" s="25"/>
      <c r="P9" s="25"/>
      <c r="Q9" s="25"/>
      <c r="R9" s="25"/>
      <c r="S9" s="25"/>
      <c r="T9"/>
      <c r="U9"/>
      <c r="V9" s="68"/>
    </row>
    <row r="10" spans="1:23" s="27" customFormat="1" ht="30" customHeight="1" x14ac:dyDescent="0.3">
      <c r="A10" s="98" t="s">
        <v>532</v>
      </c>
      <c r="B10" s="99">
        <f>R19</f>
        <v>12800</v>
      </c>
      <c r="C10" s="99">
        <f>S19</f>
        <v>20400</v>
      </c>
      <c r="D10" s="178">
        <f>T19</f>
        <v>128</v>
      </c>
      <c r="E10" s="178">
        <f>U19</f>
        <v>204</v>
      </c>
      <c r="F10" s="22"/>
      <c r="H10" s="66"/>
      <c r="I10" s="67"/>
      <c r="J10" s="67"/>
      <c r="K10" s="25"/>
      <c r="L10" s="25"/>
      <c r="M10" s="25"/>
      <c r="N10" s="25"/>
      <c r="O10" s="25"/>
      <c r="P10" s="25"/>
      <c r="Q10" s="25"/>
      <c r="R10" s="25"/>
      <c r="S10" s="25"/>
      <c r="T10"/>
      <c r="U10"/>
      <c r="V10" s="68"/>
    </row>
    <row r="11" spans="1:23" s="27" customFormat="1" ht="30" customHeight="1" x14ac:dyDescent="0.3">
      <c r="A11"/>
      <c r="B11"/>
      <c r="C11"/>
      <c r="D11" s="3"/>
      <c r="E11"/>
      <c r="F11" s="22"/>
      <c r="H11" s="66"/>
      <c r="I11" s="67"/>
      <c r="J11" s="67"/>
      <c r="K11" s="25"/>
      <c r="L11" s="25"/>
      <c r="M11" s="25"/>
      <c r="N11" s="25"/>
      <c r="O11" s="25"/>
      <c r="P11" s="25"/>
      <c r="Q11" s="25"/>
      <c r="R11" s="25"/>
      <c r="S11" s="25"/>
      <c r="T11"/>
      <c r="U11"/>
      <c r="V11" s="68"/>
    </row>
    <row r="12" spans="1:23" s="27" customFormat="1" ht="30" customHeight="1" x14ac:dyDescent="0.3">
      <c r="A12"/>
      <c r="B12"/>
      <c r="C12"/>
      <c r="D12" s="3"/>
      <c r="E12"/>
      <c r="F12" s="22"/>
      <c r="H12" s="66"/>
      <c r="I12" s="67"/>
      <c r="J12" s="67"/>
      <c r="K12" s="25"/>
      <c r="L12" s="25"/>
      <c r="M12" s="25"/>
      <c r="N12" s="25"/>
      <c r="O12" s="25"/>
      <c r="P12" s="25"/>
      <c r="Q12" s="25"/>
      <c r="R12" s="25"/>
      <c r="S12" s="25"/>
      <c r="T12"/>
      <c r="U12"/>
      <c r="V12" s="68"/>
    </row>
    <row r="13" spans="1:23" ht="36" customHeight="1" x14ac:dyDescent="0.3">
      <c r="A13" s="859" t="s">
        <v>0</v>
      </c>
      <c r="B13" s="305"/>
      <c r="C13" s="305"/>
      <c r="D13" s="304"/>
      <c r="E13" s="305"/>
      <c r="F13" s="305"/>
      <c r="G13" s="304"/>
      <c r="H13" s="304"/>
      <c r="I13" s="852" t="s">
        <v>551</v>
      </c>
      <c r="J13" s="853"/>
      <c r="K13" s="853"/>
      <c r="L13" s="854"/>
      <c r="M13" s="851" t="s">
        <v>552</v>
      </c>
      <c r="N13" s="851"/>
      <c r="O13" s="851"/>
      <c r="P13" s="851"/>
      <c r="Q13" s="851"/>
      <c r="R13" s="869" t="s">
        <v>553</v>
      </c>
      <c r="S13" s="870"/>
      <c r="T13" s="870"/>
      <c r="U13" s="871"/>
      <c r="V13" s="306"/>
      <c r="W13" s="307"/>
    </row>
    <row r="14" spans="1:23" s="62" customFormat="1" ht="71.400000000000006" x14ac:dyDescent="0.3">
      <c r="A14" s="770"/>
      <c r="B14" s="308" t="s">
        <v>49</v>
      </c>
      <c r="C14" s="309" t="s">
        <v>52</v>
      </c>
      <c r="D14" s="309" t="s">
        <v>136</v>
      </c>
      <c r="E14" s="309" t="s">
        <v>90</v>
      </c>
      <c r="F14" s="309"/>
      <c r="G14" s="303" t="s">
        <v>559</v>
      </c>
      <c r="H14" s="303" t="s">
        <v>1</v>
      </c>
      <c r="I14" s="851" t="s">
        <v>294</v>
      </c>
      <c r="J14" s="851"/>
      <c r="K14" s="781" t="s">
        <v>554</v>
      </c>
      <c r="L14" s="781"/>
      <c r="M14" s="781" t="s">
        <v>357</v>
      </c>
      <c r="N14" s="781"/>
      <c r="O14" s="850" t="s">
        <v>504</v>
      </c>
      <c r="P14" s="850"/>
      <c r="Q14" s="299" t="s">
        <v>299</v>
      </c>
      <c r="R14" s="820" t="s">
        <v>362</v>
      </c>
      <c r="S14" s="820"/>
      <c r="T14" s="820" t="s">
        <v>526</v>
      </c>
      <c r="U14" s="820"/>
      <c r="V14" s="310" t="s">
        <v>297</v>
      </c>
      <c r="W14" s="303" t="s">
        <v>296</v>
      </c>
    </row>
    <row r="15" spans="1:23" s="62" customFormat="1" ht="36" customHeight="1" x14ac:dyDescent="0.3">
      <c r="A15" s="771"/>
      <c r="B15" s="308"/>
      <c r="C15" s="309"/>
      <c r="D15" s="309"/>
      <c r="E15" s="309"/>
      <c r="F15" s="309"/>
      <c r="G15" s="303"/>
      <c r="H15" s="303"/>
      <c r="I15" s="300" t="s">
        <v>340</v>
      </c>
      <c r="J15" s="300" t="s">
        <v>341</v>
      </c>
      <c r="K15" s="301" t="s">
        <v>340</v>
      </c>
      <c r="L15" s="301" t="s">
        <v>341</v>
      </c>
      <c r="M15" s="301" t="s">
        <v>340</v>
      </c>
      <c r="N15" s="301" t="s">
        <v>341</v>
      </c>
      <c r="O15" s="302" t="s">
        <v>340</v>
      </c>
      <c r="P15" s="302" t="s">
        <v>341</v>
      </c>
      <c r="Q15" s="299"/>
      <c r="R15" s="301" t="s">
        <v>340</v>
      </c>
      <c r="S15" s="301" t="s">
        <v>341</v>
      </c>
      <c r="T15" s="301" t="s">
        <v>340</v>
      </c>
      <c r="U15" s="301" t="s">
        <v>341</v>
      </c>
      <c r="V15" s="310"/>
      <c r="W15" s="303"/>
    </row>
    <row r="16" spans="1:23" s="62" customFormat="1" ht="36" customHeight="1" x14ac:dyDescent="0.3">
      <c r="A16" s="190">
        <v>1</v>
      </c>
      <c r="B16" s="191"/>
      <c r="C16" s="191" t="s">
        <v>51</v>
      </c>
      <c r="D16" s="191" t="s">
        <v>81</v>
      </c>
      <c r="E16" s="191"/>
      <c r="F16" s="840" t="s">
        <v>300</v>
      </c>
      <c r="G16" s="840"/>
      <c r="H16" s="195" t="s">
        <v>50</v>
      </c>
      <c r="I16" s="192"/>
      <c r="J16" s="192"/>
      <c r="K16" s="193"/>
      <c r="L16" s="193"/>
      <c r="M16" s="193"/>
      <c r="N16" s="193"/>
      <c r="O16" s="193"/>
      <c r="P16" s="193"/>
      <c r="Q16" s="193"/>
      <c r="R16" s="193"/>
      <c r="S16" s="193"/>
      <c r="T16" s="193"/>
      <c r="U16" s="193"/>
      <c r="V16" s="194"/>
      <c r="W16" s="195" t="s">
        <v>295</v>
      </c>
    </row>
    <row r="17" spans="1:23" s="62" customFormat="1" ht="57.6" x14ac:dyDescent="0.3">
      <c r="A17" s="227">
        <v>1.1000000000000001</v>
      </c>
      <c r="B17" s="200" t="s">
        <v>171</v>
      </c>
      <c r="C17" s="200" t="s">
        <v>85</v>
      </c>
      <c r="D17" s="202" t="s">
        <v>81</v>
      </c>
      <c r="E17" s="200" t="s">
        <v>91</v>
      </c>
      <c r="F17" s="868" t="s">
        <v>574</v>
      </c>
      <c r="G17" s="868"/>
      <c r="H17" s="204" t="s">
        <v>217</v>
      </c>
      <c r="I17" s="228">
        <v>128</v>
      </c>
      <c r="J17" s="228">
        <v>204</v>
      </c>
      <c r="K17" s="206">
        <v>0</v>
      </c>
      <c r="L17" s="206"/>
      <c r="M17" s="206"/>
      <c r="N17" s="206"/>
      <c r="O17" s="205">
        <v>0</v>
      </c>
      <c r="P17" s="205"/>
      <c r="Q17" s="205">
        <v>0</v>
      </c>
      <c r="R17" s="206">
        <f>I17*$C$3+K17+((M17*$C$3+O17)*Q17)</f>
        <v>12800</v>
      </c>
      <c r="S17" s="206">
        <f>J17*$C$3+L17+((N17*$C$3+P17)*R17)</f>
        <v>20400</v>
      </c>
      <c r="T17" s="205">
        <f>I17+(M17*Q17)</f>
        <v>128</v>
      </c>
      <c r="U17" s="205">
        <f>J17+(N17*Q17)</f>
        <v>204</v>
      </c>
      <c r="V17" s="229" t="s">
        <v>502</v>
      </c>
      <c r="W17" s="204" t="s">
        <v>306</v>
      </c>
    </row>
    <row r="18" spans="1:23" s="62" customFormat="1" ht="36" customHeight="1" x14ac:dyDescent="0.3">
      <c r="A18" s="227">
        <v>1.2</v>
      </c>
      <c r="B18" s="200" t="s">
        <v>171</v>
      </c>
      <c r="C18" s="200"/>
      <c r="D18" s="230" t="s">
        <v>83</v>
      </c>
      <c r="E18" s="200" t="s">
        <v>91</v>
      </c>
      <c r="F18" s="867" t="s">
        <v>247</v>
      </c>
      <c r="G18" s="867"/>
      <c r="H18" s="200" t="s">
        <v>248</v>
      </c>
      <c r="I18" s="205">
        <v>0</v>
      </c>
      <c r="J18" s="205">
        <v>0</v>
      </c>
      <c r="K18" s="206">
        <v>0</v>
      </c>
      <c r="L18" s="206"/>
      <c r="M18" s="205">
        <v>0</v>
      </c>
      <c r="N18" s="205"/>
      <c r="O18" s="206">
        <v>0</v>
      </c>
      <c r="P18" s="206"/>
      <c r="Q18" s="205">
        <v>0</v>
      </c>
      <c r="R18" s="206">
        <f>I18*$C$3+K18+((M18*$C$3+O18)*Q18)</f>
        <v>0</v>
      </c>
      <c r="S18" s="206">
        <f>J18*$C$3+L18+((N18*$C$3+P18)*R18)</f>
        <v>0</v>
      </c>
      <c r="T18" s="205">
        <f>I18+(M18*Q18)</f>
        <v>0</v>
      </c>
      <c r="U18" s="205">
        <f>J18+(N18*Q18)</f>
        <v>0</v>
      </c>
      <c r="V18" s="207" t="s">
        <v>303</v>
      </c>
      <c r="W18" s="204" t="s">
        <v>295</v>
      </c>
    </row>
    <row r="19" spans="1:23" s="62" customFormat="1" ht="36" customHeight="1" x14ac:dyDescent="0.3">
      <c r="A19" s="218"/>
      <c r="B19" s="218"/>
      <c r="C19" s="218"/>
      <c r="D19" s="218"/>
      <c r="E19" s="218"/>
      <c r="F19" s="218"/>
      <c r="G19" s="218"/>
      <c r="H19" s="218"/>
      <c r="I19" s="221"/>
      <c r="J19" s="221"/>
      <c r="K19" s="222"/>
      <c r="L19" s="222"/>
      <c r="M19" s="222"/>
      <c r="N19" s="222"/>
      <c r="O19" s="222"/>
      <c r="P19" s="222"/>
      <c r="Q19" s="223" t="s">
        <v>368</v>
      </c>
      <c r="R19" s="224">
        <f>ROUND((SUM(R17:R18)),3-(INT(LOG((SUM(R17:R18))+1))))</f>
        <v>12800</v>
      </c>
      <c r="S19" s="352">
        <f>ROUND((SUM(S17:S18)),3-(INT(LOG((SUM(S17:S18))+1))))</f>
        <v>20400</v>
      </c>
      <c r="T19" s="353">
        <f>ROUND((SUM(T17:T18)),3-(INT(LOG((SUM(T17:T18))+1))))</f>
        <v>128</v>
      </c>
      <c r="U19" s="353">
        <f>ROUND((SUM(U17:U18)),3-(INT(LOG((SUM(U17:U18))+1))))</f>
        <v>204</v>
      </c>
      <c r="V19" s="225"/>
      <c r="W19" s="218"/>
    </row>
    <row r="20" spans="1:23" s="62" customFormat="1" ht="36" customHeight="1" x14ac:dyDescent="0.3">
      <c r="I20" s="17"/>
      <c r="J20" s="17"/>
      <c r="K20" s="56"/>
      <c r="L20" s="56"/>
      <c r="M20" s="56"/>
      <c r="N20" s="56"/>
      <c r="O20" s="56"/>
      <c r="P20" s="56"/>
      <c r="Q20" s="56"/>
      <c r="R20" s="56"/>
      <c r="S20" s="56"/>
      <c r="T20" s="56"/>
      <c r="U20" s="56"/>
      <c r="V20" s="63"/>
      <c r="W20" s="145"/>
    </row>
    <row r="21" spans="1:23" s="62" customFormat="1" x14ac:dyDescent="0.3"/>
    <row r="22" spans="1:23" s="62" customFormat="1" x14ac:dyDescent="0.3"/>
    <row r="23" spans="1:23" x14ac:dyDescent="0.3">
      <c r="B23"/>
      <c r="C23"/>
      <c r="E23"/>
      <c r="F23"/>
      <c r="I23"/>
      <c r="J23"/>
      <c r="K23"/>
      <c r="L23"/>
      <c r="M23"/>
      <c r="N23"/>
      <c r="O23"/>
      <c r="P23"/>
      <c r="Q23"/>
      <c r="R23"/>
      <c r="S23"/>
      <c r="T23"/>
      <c r="U23"/>
      <c r="V23"/>
    </row>
    <row r="24" spans="1:23" x14ac:dyDescent="0.3">
      <c r="B24"/>
      <c r="C24"/>
      <c r="E24"/>
      <c r="F24"/>
      <c r="I24"/>
      <c r="J24"/>
      <c r="K24"/>
      <c r="L24"/>
      <c r="M24"/>
      <c r="N24"/>
      <c r="O24"/>
      <c r="P24"/>
      <c r="Q24"/>
      <c r="R24"/>
      <c r="S24"/>
      <c r="T24"/>
      <c r="U24"/>
      <c r="V24"/>
    </row>
    <row r="25" spans="1:23" x14ac:dyDescent="0.3">
      <c r="B25"/>
      <c r="C25"/>
      <c r="E25"/>
      <c r="F25"/>
      <c r="I25"/>
      <c r="J25"/>
      <c r="K25"/>
      <c r="L25"/>
      <c r="M25"/>
      <c r="N25"/>
      <c r="O25"/>
      <c r="P25"/>
      <c r="Q25"/>
      <c r="R25"/>
      <c r="S25"/>
      <c r="T25"/>
      <c r="U25"/>
      <c r="V25"/>
    </row>
    <row r="26" spans="1:23" x14ac:dyDescent="0.3">
      <c r="B26"/>
      <c r="C26"/>
      <c r="E26"/>
      <c r="F26"/>
      <c r="I26"/>
      <c r="J26"/>
      <c r="K26"/>
      <c r="L26"/>
      <c r="M26"/>
      <c r="N26"/>
      <c r="O26"/>
      <c r="P26"/>
      <c r="Q26"/>
      <c r="R26"/>
      <c r="S26"/>
      <c r="T26"/>
      <c r="U26"/>
      <c r="V26"/>
    </row>
    <row r="27" spans="1:23" x14ac:dyDescent="0.3">
      <c r="B27"/>
      <c r="C27"/>
      <c r="E27"/>
      <c r="F27"/>
      <c r="I27"/>
      <c r="J27"/>
      <c r="K27"/>
      <c r="L27"/>
      <c r="M27"/>
      <c r="N27"/>
      <c r="O27"/>
      <c r="P27"/>
      <c r="Q27"/>
      <c r="R27"/>
      <c r="S27"/>
      <c r="T27"/>
      <c r="U27"/>
      <c r="V27"/>
    </row>
    <row r="28" spans="1:23" x14ac:dyDescent="0.3">
      <c r="B28"/>
      <c r="C28"/>
      <c r="E28"/>
      <c r="F28"/>
      <c r="I28"/>
      <c r="J28"/>
      <c r="K28"/>
      <c r="L28"/>
      <c r="M28"/>
      <c r="N28"/>
      <c r="O28"/>
      <c r="P28"/>
      <c r="Q28"/>
      <c r="R28"/>
      <c r="S28"/>
      <c r="T28"/>
      <c r="U28"/>
      <c r="V28"/>
    </row>
    <row r="29" spans="1:23" x14ac:dyDescent="0.3">
      <c r="B29"/>
      <c r="C29"/>
      <c r="E29"/>
      <c r="F29"/>
      <c r="I29"/>
      <c r="J29"/>
      <c r="K29"/>
      <c r="L29"/>
      <c r="M29"/>
      <c r="N29"/>
      <c r="O29"/>
      <c r="P29"/>
      <c r="Q29"/>
      <c r="R29"/>
      <c r="S29"/>
      <c r="T29"/>
      <c r="U29"/>
      <c r="V29"/>
    </row>
    <row r="30" spans="1:23" x14ac:dyDescent="0.3">
      <c r="B30"/>
      <c r="C30"/>
      <c r="E30"/>
      <c r="F30"/>
      <c r="I30"/>
      <c r="J30"/>
      <c r="K30"/>
      <c r="L30"/>
      <c r="M30"/>
      <c r="N30"/>
      <c r="O30"/>
      <c r="P30"/>
      <c r="Q30"/>
      <c r="R30"/>
      <c r="S30"/>
      <c r="T30"/>
      <c r="U30"/>
      <c r="V30"/>
    </row>
    <row r="31" spans="1:23" x14ac:dyDescent="0.3">
      <c r="B31"/>
      <c r="C31"/>
      <c r="E31"/>
      <c r="F31"/>
      <c r="I31"/>
      <c r="J31"/>
      <c r="K31"/>
      <c r="L31"/>
      <c r="M31"/>
      <c r="N31"/>
      <c r="O31"/>
      <c r="P31"/>
      <c r="Q31"/>
      <c r="R31"/>
      <c r="S31"/>
      <c r="T31"/>
      <c r="U31"/>
      <c r="V31"/>
    </row>
    <row r="32" spans="1:23" x14ac:dyDescent="0.3">
      <c r="B32"/>
      <c r="C32"/>
      <c r="E32"/>
      <c r="F32"/>
      <c r="I32"/>
      <c r="J32"/>
      <c r="K32"/>
      <c r="L32"/>
      <c r="M32"/>
      <c r="N32"/>
      <c r="O32"/>
      <c r="P32"/>
      <c r="Q32"/>
      <c r="R32"/>
      <c r="S32"/>
      <c r="T32"/>
      <c r="U32"/>
      <c r="V32"/>
    </row>
    <row r="33" spans="2:22" x14ac:dyDescent="0.3">
      <c r="B33"/>
      <c r="C33"/>
      <c r="E33"/>
      <c r="F33"/>
      <c r="I33"/>
      <c r="J33"/>
      <c r="K33"/>
      <c r="L33"/>
      <c r="M33"/>
      <c r="N33"/>
      <c r="O33"/>
      <c r="P33"/>
      <c r="Q33"/>
      <c r="R33"/>
      <c r="S33"/>
      <c r="T33"/>
      <c r="U33"/>
      <c r="V33"/>
    </row>
    <row r="34" spans="2:22" x14ac:dyDescent="0.3">
      <c r="B34"/>
      <c r="C34"/>
      <c r="E34"/>
      <c r="F34"/>
      <c r="I34"/>
      <c r="J34"/>
      <c r="K34"/>
      <c r="L34"/>
      <c r="M34"/>
      <c r="N34"/>
      <c r="O34"/>
      <c r="P34"/>
      <c r="Q34"/>
      <c r="R34"/>
      <c r="S34"/>
      <c r="T34"/>
      <c r="U34"/>
      <c r="V34"/>
    </row>
    <row r="35" spans="2:22" x14ac:dyDescent="0.3">
      <c r="B35"/>
      <c r="C35"/>
      <c r="E35"/>
      <c r="F35"/>
      <c r="I35"/>
      <c r="J35"/>
      <c r="K35"/>
      <c r="L35"/>
      <c r="M35"/>
      <c r="N35"/>
      <c r="O35"/>
      <c r="P35"/>
      <c r="Q35"/>
      <c r="R35"/>
      <c r="S35"/>
      <c r="T35"/>
      <c r="U35"/>
      <c r="V35"/>
    </row>
    <row r="36" spans="2:22" x14ac:dyDescent="0.3">
      <c r="B36"/>
      <c r="C36"/>
      <c r="E36"/>
      <c r="F36"/>
      <c r="I36"/>
      <c r="J36"/>
      <c r="K36"/>
      <c r="L36"/>
      <c r="M36"/>
      <c r="N36"/>
      <c r="O36"/>
      <c r="P36"/>
      <c r="Q36"/>
      <c r="R36"/>
      <c r="S36"/>
      <c r="T36"/>
      <c r="U36"/>
      <c r="V36"/>
    </row>
    <row r="37" spans="2:22" x14ac:dyDescent="0.3">
      <c r="B37"/>
      <c r="C37"/>
      <c r="E37"/>
      <c r="F37"/>
      <c r="I37"/>
      <c r="J37"/>
      <c r="K37"/>
      <c r="L37"/>
      <c r="M37"/>
      <c r="N37"/>
      <c r="O37"/>
      <c r="P37"/>
      <c r="Q37"/>
      <c r="R37"/>
      <c r="S37"/>
      <c r="T37"/>
      <c r="U37"/>
      <c r="V37"/>
    </row>
    <row r="38" spans="2:22" x14ac:dyDescent="0.3">
      <c r="B38"/>
      <c r="C38"/>
      <c r="E38"/>
      <c r="F38"/>
      <c r="I38"/>
      <c r="J38"/>
      <c r="K38"/>
      <c r="L38"/>
      <c r="M38"/>
      <c r="N38"/>
      <c r="O38"/>
      <c r="P38"/>
      <c r="Q38"/>
      <c r="R38"/>
      <c r="S38"/>
      <c r="T38"/>
      <c r="U38"/>
      <c r="V38"/>
    </row>
    <row r="39" spans="2:22" x14ac:dyDescent="0.3">
      <c r="B39"/>
      <c r="C39"/>
      <c r="E39"/>
      <c r="F39"/>
      <c r="I39"/>
      <c r="J39"/>
      <c r="K39"/>
      <c r="L39"/>
      <c r="M39"/>
      <c r="N39"/>
      <c r="O39"/>
      <c r="P39"/>
      <c r="Q39"/>
      <c r="R39"/>
      <c r="S39"/>
      <c r="T39"/>
      <c r="U39"/>
      <c r="V39"/>
    </row>
    <row r="40" spans="2:22" x14ac:dyDescent="0.3">
      <c r="B40"/>
      <c r="C40"/>
      <c r="E40"/>
      <c r="F40"/>
      <c r="I40"/>
      <c r="J40"/>
      <c r="K40"/>
      <c r="L40"/>
      <c r="M40"/>
      <c r="N40"/>
      <c r="O40"/>
      <c r="P40"/>
      <c r="Q40"/>
      <c r="R40"/>
      <c r="S40"/>
      <c r="T40"/>
      <c r="U40"/>
      <c r="V40"/>
    </row>
    <row r="41" spans="2:22" x14ac:dyDescent="0.3">
      <c r="B41"/>
      <c r="C41"/>
      <c r="E41"/>
      <c r="F41"/>
      <c r="I41"/>
      <c r="J41"/>
      <c r="K41"/>
      <c r="L41"/>
      <c r="M41"/>
      <c r="N41"/>
      <c r="O41"/>
      <c r="P41"/>
      <c r="Q41"/>
      <c r="R41"/>
      <c r="S41"/>
      <c r="T41"/>
      <c r="U41"/>
      <c r="V41"/>
    </row>
    <row r="42" spans="2:22" x14ac:dyDescent="0.3">
      <c r="B42"/>
      <c r="C42"/>
      <c r="E42"/>
      <c r="F42"/>
      <c r="I42"/>
      <c r="J42"/>
      <c r="K42"/>
      <c r="L42"/>
      <c r="M42"/>
      <c r="N42"/>
      <c r="O42"/>
      <c r="P42"/>
      <c r="Q42"/>
      <c r="R42"/>
      <c r="S42"/>
      <c r="T42"/>
      <c r="U42"/>
      <c r="V42"/>
    </row>
    <row r="43" spans="2:22" x14ac:dyDescent="0.3">
      <c r="B43"/>
      <c r="C43"/>
      <c r="E43"/>
      <c r="F43"/>
      <c r="I43"/>
      <c r="J43"/>
      <c r="K43"/>
      <c r="L43"/>
      <c r="M43"/>
      <c r="N43"/>
      <c r="O43"/>
      <c r="P43"/>
      <c r="Q43"/>
      <c r="R43"/>
      <c r="S43"/>
      <c r="T43"/>
      <c r="U43"/>
      <c r="V43"/>
    </row>
    <row r="44" spans="2:22" x14ac:dyDescent="0.3">
      <c r="B44"/>
      <c r="C44"/>
      <c r="E44"/>
      <c r="F44"/>
      <c r="I44"/>
      <c r="J44"/>
      <c r="K44"/>
      <c r="L44"/>
      <c r="M44"/>
      <c r="N44"/>
      <c r="O44"/>
      <c r="P44"/>
      <c r="Q44"/>
      <c r="R44"/>
      <c r="S44"/>
      <c r="T44"/>
      <c r="U44"/>
      <c r="V44"/>
    </row>
    <row r="45" spans="2:22" x14ac:dyDescent="0.3">
      <c r="B45"/>
      <c r="C45"/>
      <c r="E45"/>
      <c r="F45"/>
      <c r="I45"/>
      <c r="J45"/>
      <c r="K45"/>
      <c r="L45"/>
      <c r="M45"/>
      <c r="N45"/>
      <c r="O45"/>
      <c r="P45"/>
      <c r="Q45"/>
      <c r="R45"/>
      <c r="S45"/>
      <c r="T45"/>
      <c r="U45"/>
      <c r="V45"/>
    </row>
    <row r="46" spans="2:22" x14ac:dyDescent="0.3">
      <c r="B46"/>
      <c r="C46"/>
      <c r="E46"/>
      <c r="F46"/>
      <c r="I46"/>
      <c r="J46"/>
      <c r="K46"/>
      <c r="L46"/>
      <c r="M46"/>
      <c r="N46"/>
      <c r="O46"/>
      <c r="P46"/>
      <c r="Q46"/>
      <c r="R46"/>
      <c r="S46"/>
      <c r="T46"/>
      <c r="U46"/>
      <c r="V46"/>
    </row>
    <row r="47" spans="2:22" x14ac:dyDescent="0.3">
      <c r="B47"/>
      <c r="C47"/>
      <c r="E47"/>
      <c r="F47"/>
      <c r="I47"/>
      <c r="J47"/>
      <c r="K47"/>
      <c r="L47"/>
      <c r="M47"/>
      <c r="N47"/>
      <c r="O47"/>
      <c r="P47"/>
      <c r="Q47"/>
      <c r="R47"/>
      <c r="S47"/>
      <c r="T47"/>
      <c r="U47"/>
      <c r="V47"/>
    </row>
    <row r="48" spans="2:22" x14ac:dyDescent="0.3">
      <c r="B48"/>
      <c r="C48"/>
      <c r="E48"/>
      <c r="F48"/>
      <c r="I48"/>
      <c r="J48"/>
      <c r="K48"/>
      <c r="L48"/>
      <c r="M48"/>
      <c r="N48"/>
      <c r="O48"/>
      <c r="P48"/>
      <c r="Q48"/>
      <c r="R48"/>
      <c r="S48"/>
      <c r="T48"/>
      <c r="U48"/>
      <c r="V48"/>
    </row>
    <row r="49" spans="2:22" x14ac:dyDescent="0.3">
      <c r="B49"/>
      <c r="C49"/>
      <c r="E49"/>
      <c r="F49"/>
      <c r="I49"/>
      <c r="J49"/>
      <c r="K49"/>
      <c r="L49"/>
      <c r="M49"/>
      <c r="N49"/>
      <c r="O49"/>
      <c r="P49"/>
      <c r="Q49"/>
      <c r="R49"/>
      <c r="S49"/>
      <c r="T49"/>
      <c r="U49"/>
      <c r="V49"/>
    </row>
    <row r="50" spans="2:22" x14ac:dyDescent="0.3">
      <c r="B50"/>
      <c r="C50"/>
      <c r="E50"/>
      <c r="F50"/>
      <c r="I50"/>
      <c r="J50"/>
      <c r="K50"/>
      <c r="L50"/>
      <c r="M50"/>
      <c r="N50"/>
      <c r="O50"/>
      <c r="P50"/>
      <c r="Q50"/>
      <c r="R50"/>
      <c r="S50"/>
      <c r="T50"/>
      <c r="U50"/>
      <c r="V50"/>
    </row>
    <row r="51" spans="2:22" x14ac:dyDescent="0.3">
      <c r="B51"/>
      <c r="C51"/>
      <c r="E51"/>
      <c r="F51"/>
      <c r="I51"/>
      <c r="J51"/>
      <c r="K51"/>
      <c r="L51"/>
      <c r="M51"/>
      <c r="N51"/>
      <c r="O51"/>
      <c r="P51"/>
      <c r="Q51"/>
      <c r="R51"/>
      <c r="S51"/>
      <c r="T51"/>
      <c r="U51"/>
      <c r="V51"/>
    </row>
    <row r="52" spans="2:22" x14ac:dyDescent="0.3">
      <c r="B52"/>
      <c r="C52"/>
      <c r="E52"/>
      <c r="F52"/>
      <c r="I52"/>
      <c r="J52"/>
      <c r="K52"/>
      <c r="L52"/>
      <c r="M52"/>
      <c r="N52"/>
      <c r="O52"/>
      <c r="P52"/>
      <c r="Q52"/>
      <c r="R52"/>
      <c r="S52"/>
      <c r="T52"/>
      <c r="U52"/>
      <c r="V52"/>
    </row>
    <row r="53" spans="2:22" x14ac:dyDescent="0.3">
      <c r="B53"/>
      <c r="C53"/>
      <c r="E53"/>
      <c r="F53"/>
      <c r="I53"/>
      <c r="J53"/>
      <c r="K53"/>
      <c r="L53"/>
      <c r="M53"/>
      <c r="N53"/>
      <c r="O53"/>
      <c r="P53"/>
      <c r="Q53"/>
      <c r="R53"/>
      <c r="S53"/>
      <c r="T53"/>
      <c r="U53"/>
      <c r="V53"/>
    </row>
    <row r="54" spans="2:22" x14ac:dyDescent="0.3">
      <c r="B54"/>
      <c r="C54"/>
      <c r="E54"/>
      <c r="F54"/>
      <c r="I54"/>
      <c r="J54"/>
      <c r="K54"/>
      <c r="L54"/>
      <c r="M54"/>
      <c r="N54"/>
      <c r="O54"/>
      <c r="P54"/>
      <c r="Q54"/>
      <c r="R54"/>
      <c r="S54"/>
      <c r="T54"/>
      <c r="U54"/>
      <c r="V54"/>
    </row>
    <row r="55" spans="2:22" x14ac:dyDescent="0.3">
      <c r="B55"/>
      <c r="C55"/>
      <c r="E55"/>
      <c r="F55"/>
      <c r="I55"/>
      <c r="J55"/>
      <c r="K55"/>
      <c r="L55"/>
      <c r="M55"/>
      <c r="N55"/>
      <c r="O55"/>
      <c r="P55"/>
      <c r="Q55"/>
      <c r="R55"/>
      <c r="S55"/>
      <c r="T55"/>
      <c r="U55"/>
      <c r="V55"/>
    </row>
    <row r="56" spans="2:22" x14ac:dyDescent="0.3">
      <c r="B56"/>
      <c r="C56"/>
      <c r="E56"/>
      <c r="F56"/>
      <c r="I56"/>
      <c r="J56"/>
      <c r="K56"/>
      <c r="L56"/>
      <c r="M56"/>
      <c r="N56"/>
      <c r="O56"/>
      <c r="P56"/>
      <c r="Q56"/>
      <c r="R56"/>
      <c r="S56"/>
      <c r="T56"/>
      <c r="U56"/>
      <c r="V56"/>
    </row>
    <row r="57" spans="2:22" x14ac:dyDescent="0.3">
      <c r="B57"/>
      <c r="C57"/>
      <c r="E57"/>
      <c r="F57"/>
      <c r="I57"/>
      <c r="J57"/>
      <c r="K57"/>
      <c r="L57"/>
      <c r="M57"/>
      <c r="N57"/>
      <c r="O57"/>
      <c r="P57"/>
      <c r="Q57"/>
      <c r="R57"/>
      <c r="S57"/>
      <c r="T57"/>
      <c r="U57"/>
      <c r="V57"/>
    </row>
    <row r="58" spans="2:22" x14ac:dyDescent="0.3">
      <c r="B58"/>
      <c r="C58"/>
      <c r="E58"/>
      <c r="F58"/>
      <c r="I58"/>
      <c r="J58"/>
      <c r="K58"/>
      <c r="L58"/>
      <c r="M58"/>
      <c r="N58"/>
      <c r="O58"/>
      <c r="P58"/>
      <c r="Q58"/>
      <c r="R58"/>
      <c r="S58"/>
      <c r="T58"/>
      <c r="U58"/>
      <c r="V58"/>
    </row>
    <row r="59" spans="2:22" x14ac:dyDescent="0.3">
      <c r="B59"/>
      <c r="C59"/>
      <c r="E59"/>
      <c r="F59"/>
      <c r="I59"/>
      <c r="J59"/>
      <c r="K59"/>
      <c r="L59"/>
      <c r="M59"/>
      <c r="N59"/>
      <c r="O59"/>
      <c r="P59"/>
      <c r="Q59"/>
      <c r="R59"/>
      <c r="S59"/>
      <c r="T59"/>
      <c r="U59"/>
      <c r="V59"/>
    </row>
    <row r="60" spans="2:22" x14ac:dyDescent="0.3">
      <c r="B60"/>
      <c r="C60"/>
      <c r="E60"/>
      <c r="F60"/>
      <c r="I60"/>
      <c r="J60"/>
      <c r="K60"/>
      <c r="L60"/>
      <c r="M60"/>
      <c r="N60"/>
      <c r="O60"/>
      <c r="P60"/>
      <c r="Q60"/>
      <c r="R60"/>
      <c r="S60"/>
      <c r="T60"/>
      <c r="U60"/>
      <c r="V60"/>
    </row>
    <row r="61" spans="2:22" x14ac:dyDescent="0.3">
      <c r="B61"/>
      <c r="C61"/>
      <c r="E61"/>
      <c r="F61"/>
      <c r="I61"/>
      <c r="J61"/>
      <c r="K61"/>
      <c r="L61"/>
      <c r="M61"/>
      <c r="N61"/>
      <c r="O61"/>
      <c r="P61"/>
      <c r="Q61"/>
      <c r="R61"/>
      <c r="S61"/>
      <c r="T61"/>
      <c r="U61"/>
      <c r="V61"/>
    </row>
    <row r="62" spans="2:22" x14ac:dyDescent="0.3">
      <c r="B62"/>
      <c r="C62"/>
      <c r="E62"/>
      <c r="F62"/>
      <c r="I62"/>
      <c r="J62"/>
      <c r="K62"/>
      <c r="L62"/>
      <c r="M62"/>
      <c r="N62"/>
      <c r="O62"/>
      <c r="P62"/>
      <c r="Q62"/>
      <c r="R62"/>
      <c r="S62"/>
      <c r="T62"/>
      <c r="U62"/>
      <c r="V62"/>
    </row>
    <row r="63" spans="2:22" x14ac:dyDescent="0.3">
      <c r="B63"/>
      <c r="C63"/>
      <c r="E63"/>
      <c r="F63"/>
      <c r="I63"/>
      <c r="J63"/>
      <c r="K63"/>
      <c r="L63"/>
      <c r="M63"/>
      <c r="N63"/>
      <c r="O63"/>
      <c r="P63"/>
      <c r="Q63"/>
      <c r="R63"/>
      <c r="S63"/>
      <c r="T63"/>
      <c r="U63"/>
      <c r="V63"/>
    </row>
    <row r="64" spans="2:22" x14ac:dyDescent="0.3">
      <c r="B64"/>
      <c r="C64"/>
      <c r="E64"/>
      <c r="F64"/>
      <c r="I64"/>
      <c r="J64"/>
      <c r="K64"/>
      <c r="L64"/>
      <c r="M64"/>
      <c r="N64"/>
      <c r="O64"/>
      <c r="P64"/>
      <c r="Q64"/>
      <c r="R64"/>
      <c r="S64"/>
      <c r="T64"/>
      <c r="U64"/>
      <c r="V64"/>
    </row>
    <row r="65" spans="2:22" x14ac:dyDescent="0.3">
      <c r="B65"/>
      <c r="C65"/>
      <c r="E65"/>
      <c r="F65"/>
      <c r="I65"/>
      <c r="J65"/>
      <c r="K65"/>
      <c r="L65"/>
      <c r="M65"/>
      <c r="N65"/>
      <c r="O65"/>
      <c r="P65"/>
      <c r="Q65"/>
      <c r="R65"/>
      <c r="S65"/>
      <c r="T65"/>
      <c r="U65"/>
      <c r="V65"/>
    </row>
    <row r="66" spans="2:22" x14ac:dyDescent="0.3">
      <c r="B66"/>
      <c r="C66"/>
      <c r="E66"/>
      <c r="F66"/>
      <c r="I66"/>
      <c r="J66"/>
      <c r="K66"/>
      <c r="L66"/>
      <c r="M66"/>
      <c r="N66"/>
      <c r="O66"/>
      <c r="P66"/>
      <c r="Q66"/>
      <c r="R66"/>
      <c r="S66"/>
      <c r="T66"/>
      <c r="U66"/>
      <c r="V66"/>
    </row>
    <row r="67" spans="2:22" x14ac:dyDescent="0.3">
      <c r="B67"/>
      <c r="C67"/>
      <c r="E67"/>
      <c r="F67"/>
      <c r="I67"/>
      <c r="J67"/>
      <c r="K67"/>
      <c r="L67"/>
      <c r="M67"/>
      <c r="N67"/>
      <c r="O67"/>
      <c r="P67"/>
      <c r="Q67"/>
      <c r="R67"/>
      <c r="S67"/>
      <c r="T67"/>
      <c r="U67"/>
      <c r="V67"/>
    </row>
    <row r="68" spans="2:22" x14ac:dyDescent="0.3">
      <c r="B68"/>
      <c r="C68"/>
      <c r="E68"/>
      <c r="F68"/>
      <c r="I68"/>
      <c r="J68"/>
      <c r="K68"/>
      <c r="L68"/>
      <c r="M68"/>
      <c r="N68"/>
      <c r="O68"/>
      <c r="P68"/>
      <c r="Q68"/>
      <c r="R68"/>
      <c r="S68"/>
      <c r="T68"/>
      <c r="U68"/>
      <c r="V68"/>
    </row>
    <row r="69" spans="2:22" x14ac:dyDescent="0.3">
      <c r="B69"/>
      <c r="C69"/>
      <c r="E69"/>
      <c r="F69"/>
      <c r="I69"/>
      <c r="J69"/>
      <c r="K69"/>
      <c r="L69"/>
      <c r="M69"/>
      <c r="N69"/>
      <c r="O69"/>
      <c r="P69"/>
      <c r="Q69"/>
      <c r="R69"/>
      <c r="S69"/>
      <c r="T69"/>
      <c r="U69"/>
      <c r="V69"/>
    </row>
    <row r="70" spans="2:22" x14ac:dyDescent="0.3">
      <c r="B70"/>
      <c r="C70"/>
      <c r="E70"/>
      <c r="F70"/>
      <c r="I70"/>
      <c r="J70"/>
      <c r="K70"/>
      <c r="L70"/>
      <c r="M70"/>
      <c r="N70"/>
      <c r="O70"/>
      <c r="P70"/>
      <c r="Q70"/>
      <c r="R70"/>
      <c r="S70"/>
      <c r="T70"/>
      <c r="U70"/>
      <c r="V70"/>
    </row>
    <row r="71" spans="2:22" x14ac:dyDescent="0.3">
      <c r="B71"/>
      <c r="C71"/>
      <c r="E71"/>
      <c r="F71"/>
      <c r="I71"/>
      <c r="J71"/>
      <c r="K71"/>
      <c r="L71"/>
      <c r="M71"/>
      <c r="N71"/>
      <c r="O71"/>
      <c r="P71"/>
      <c r="Q71"/>
      <c r="R71"/>
      <c r="S71"/>
      <c r="T71"/>
      <c r="U71"/>
      <c r="V71"/>
    </row>
    <row r="72" spans="2:22" x14ac:dyDescent="0.3">
      <c r="B72"/>
      <c r="C72"/>
      <c r="E72"/>
      <c r="F72"/>
      <c r="I72"/>
      <c r="J72"/>
      <c r="K72"/>
      <c r="L72"/>
      <c r="M72"/>
      <c r="N72"/>
      <c r="O72"/>
      <c r="P72"/>
      <c r="Q72"/>
      <c r="R72"/>
      <c r="S72"/>
      <c r="T72"/>
      <c r="U72"/>
      <c r="V72"/>
    </row>
    <row r="73" spans="2:22" x14ac:dyDescent="0.3">
      <c r="B73"/>
      <c r="C73"/>
      <c r="E73"/>
      <c r="F73"/>
      <c r="I73"/>
      <c r="J73"/>
      <c r="K73"/>
      <c r="L73"/>
      <c r="M73"/>
      <c r="N73"/>
      <c r="O73"/>
      <c r="P73"/>
      <c r="Q73"/>
      <c r="R73"/>
      <c r="S73"/>
      <c r="T73"/>
      <c r="U73"/>
      <c r="V73"/>
    </row>
    <row r="74" spans="2:22" x14ac:dyDescent="0.3">
      <c r="B74"/>
      <c r="C74"/>
      <c r="E74"/>
      <c r="F74"/>
      <c r="I74"/>
      <c r="J74"/>
      <c r="K74"/>
      <c r="L74"/>
      <c r="M74"/>
      <c r="N74"/>
      <c r="O74"/>
      <c r="P74"/>
      <c r="Q74"/>
      <c r="R74"/>
      <c r="S74"/>
      <c r="T74"/>
      <c r="U74"/>
      <c r="V74"/>
    </row>
    <row r="75" spans="2:22" x14ac:dyDescent="0.3">
      <c r="B75"/>
      <c r="C75"/>
      <c r="E75"/>
      <c r="F75"/>
      <c r="I75"/>
      <c r="J75"/>
      <c r="K75"/>
      <c r="L75"/>
      <c r="M75"/>
      <c r="N75"/>
      <c r="O75"/>
      <c r="P75"/>
      <c r="Q75"/>
      <c r="R75"/>
      <c r="S75"/>
      <c r="T75"/>
      <c r="U75"/>
      <c r="V75"/>
    </row>
    <row r="76" spans="2:22" x14ac:dyDescent="0.3">
      <c r="B76"/>
      <c r="C76"/>
      <c r="E76"/>
      <c r="F76"/>
      <c r="I76"/>
      <c r="J76"/>
      <c r="K76"/>
      <c r="L76"/>
      <c r="M76"/>
      <c r="N76"/>
      <c r="O76"/>
      <c r="P76"/>
      <c r="Q76"/>
      <c r="R76"/>
      <c r="S76"/>
      <c r="T76"/>
      <c r="U76"/>
      <c r="V76"/>
    </row>
    <row r="78" spans="2:22" x14ac:dyDescent="0.3">
      <c r="B78"/>
      <c r="C78"/>
      <c r="E78"/>
      <c r="F78"/>
      <c r="I78"/>
      <c r="J78"/>
      <c r="K78"/>
      <c r="L78"/>
      <c r="M78"/>
      <c r="N78"/>
      <c r="O78"/>
      <c r="P78"/>
      <c r="Q78"/>
      <c r="R78"/>
      <c r="S78"/>
      <c r="T78"/>
      <c r="U78"/>
      <c r="V78"/>
    </row>
    <row r="80" spans="2:22" x14ac:dyDescent="0.3">
      <c r="B80"/>
      <c r="C80"/>
      <c r="E80"/>
      <c r="F80"/>
      <c r="I80"/>
      <c r="J80"/>
      <c r="K80"/>
      <c r="L80"/>
      <c r="M80"/>
      <c r="N80"/>
      <c r="O80"/>
      <c r="P80"/>
      <c r="Q80"/>
      <c r="R80"/>
      <c r="S80"/>
      <c r="T80"/>
      <c r="U80"/>
      <c r="V80"/>
    </row>
    <row r="82" spans="2:22" x14ac:dyDescent="0.3">
      <c r="B82"/>
      <c r="C82"/>
      <c r="E82"/>
      <c r="F82"/>
      <c r="I82"/>
      <c r="J82"/>
      <c r="K82"/>
      <c r="L82"/>
      <c r="M82"/>
      <c r="N82"/>
      <c r="O82"/>
      <c r="P82"/>
      <c r="Q82"/>
      <c r="R82"/>
      <c r="S82"/>
      <c r="T82"/>
      <c r="U82"/>
      <c r="V82"/>
    </row>
    <row r="83" spans="2:22" x14ac:dyDescent="0.3">
      <c r="B83"/>
      <c r="C83"/>
      <c r="E83"/>
      <c r="F83"/>
      <c r="I83"/>
      <c r="J83"/>
      <c r="K83"/>
      <c r="L83"/>
      <c r="M83"/>
      <c r="N83"/>
      <c r="O83"/>
      <c r="P83"/>
      <c r="Q83"/>
      <c r="R83"/>
      <c r="S83"/>
      <c r="T83"/>
      <c r="U83"/>
      <c r="V83"/>
    </row>
  </sheetData>
  <mergeCells count="17">
    <mergeCell ref="I13:L13"/>
    <mergeCell ref="R13:U13"/>
    <mergeCell ref="A13:A15"/>
    <mergeCell ref="T14:U14"/>
    <mergeCell ref="M13:Q13"/>
    <mergeCell ref="I14:J14"/>
    <mergeCell ref="R14:S14"/>
    <mergeCell ref="K14:L14"/>
    <mergeCell ref="M14:N14"/>
    <mergeCell ref="O14:P14"/>
    <mergeCell ref="F18:G18"/>
    <mergeCell ref="A2:C2"/>
    <mergeCell ref="A3:B3"/>
    <mergeCell ref="B5:C5"/>
    <mergeCell ref="D5:E5"/>
    <mergeCell ref="F16:G16"/>
    <mergeCell ref="F17:G17"/>
  </mergeCells>
  <pageMargins left="0.7" right="0.7" top="0.75" bottom="0.75" header="0.3" footer="0.3"/>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84"/>
  <sheetViews>
    <sheetView topLeftCell="G40" zoomScale="85" zoomScaleNormal="85" workbookViewId="0">
      <selection activeCell="W47" sqref="W47:W48"/>
    </sheetView>
  </sheetViews>
  <sheetFormatPr defaultColWidth="8.88671875" defaultRowHeight="14.4" x14ac:dyDescent="0.3"/>
  <cols>
    <col min="1" max="1" width="22.44140625" style="16" bestFit="1" customWidth="1"/>
    <col min="2" max="2" width="13.44140625" style="47" customWidth="1"/>
    <col min="3" max="3" width="11.109375" style="47" customWidth="1"/>
    <col min="4" max="4" width="12.33203125" style="47" customWidth="1"/>
    <col min="5" max="5" width="10.33203125" style="16" customWidth="1"/>
    <col min="6" max="7" width="5" style="47" customWidth="1"/>
    <col min="8" max="8" width="4.44140625" style="47" customWidth="1"/>
    <col min="9" max="9" width="106.44140625" style="47" customWidth="1"/>
    <col min="10" max="10" width="12.88671875" style="47" customWidth="1"/>
    <col min="11" max="12" width="8.33203125" style="57" customWidth="1"/>
    <col min="13" max="14" width="8.33203125" style="58" customWidth="1"/>
    <col min="15" max="16" width="10.6640625" style="57" customWidth="1"/>
    <col min="17" max="18" width="8.33203125" style="58" customWidth="1"/>
    <col min="19" max="23" width="10.6640625" style="57" customWidth="1"/>
    <col min="24" max="24" width="57.44140625" style="47" customWidth="1"/>
    <col min="25" max="25" width="36.88671875" style="47" customWidth="1"/>
    <col min="26" max="16384" width="8.88671875" style="47"/>
  </cols>
  <sheetData>
    <row r="1" spans="1:9" customFormat="1" ht="21.9" customHeight="1" x14ac:dyDescent="0.3">
      <c r="A1" s="719" t="s">
        <v>531</v>
      </c>
      <c r="B1" s="720"/>
      <c r="C1" s="721"/>
      <c r="D1" s="47"/>
      <c r="E1" s="47"/>
      <c r="H1" s="1"/>
      <c r="I1" s="21"/>
    </row>
    <row r="2" spans="1:9" customFormat="1" ht="21.9" customHeight="1" x14ac:dyDescent="0.3">
      <c r="A2" s="798" t="s">
        <v>538</v>
      </c>
      <c r="B2" s="799"/>
      <c r="C2" s="141">
        <f>'Cover Sheet'!B11</f>
        <v>12</v>
      </c>
      <c r="D2" s="47"/>
      <c r="E2" s="47"/>
      <c r="H2" s="1"/>
      <c r="I2" s="1"/>
    </row>
    <row r="3" spans="1:9" customFormat="1" ht="21.9" customHeight="1" x14ac:dyDescent="0.3">
      <c r="A3" s="798" t="s">
        <v>539</v>
      </c>
      <c r="B3" s="799"/>
      <c r="C3" s="235">
        <f>'Cover Sheet'!B12</f>
        <v>773</v>
      </c>
      <c r="D3" s="47"/>
      <c r="E3" s="47"/>
      <c r="H3" s="1"/>
      <c r="I3" s="1"/>
    </row>
    <row r="4" spans="1:9" customFormat="1" ht="21.9" customHeight="1" x14ac:dyDescent="0.3">
      <c r="A4" s="798" t="s">
        <v>540</v>
      </c>
      <c r="B4" s="799"/>
      <c r="C4" s="53"/>
      <c r="D4" s="47"/>
      <c r="E4" s="47"/>
      <c r="H4" s="1"/>
      <c r="I4" s="1"/>
    </row>
    <row r="5" spans="1:9" customFormat="1" ht="21.9" customHeight="1" x14ac:dyDescent="0.3">
      <c r="A5" s="910" t="s">
        <v>541</v>
      </c>
      <c r="B5" s="911"/>
      <c r="C5" s="53">
        <f>'Cover Sheet'!B13</f>
        <v>154.60000000000002</v>
      </c>
      <c r="D5" s="47"/>
      <c r="E5" s="47"/>
      <c r="H5" s="1"/>
      <c r="I5" s="1"/>
    </row>
    <row r="6" spans="1:9" customFormat="1" ht="21.9" customHeight="1" x14ac:dyDescent="0.3">
      <c r="A6" s="910" t="s">
        <v>542</v>
      </c>
      <c r="B6" s="911"/>
      <c r="C6" s="53">
        <f>'Cover Sheet'!C13</f>
        <v>36</v>
      </c>
      <c r="D6" s="47"/>
      <c r="E6" s="47"/>
      <c r="H6" s="1"/>
      <c r="I6" s="1"/>
    </row>
    <row r="7" spans="1:9" customFormat="1" ht="36.9" customHeight="1" x14ac:dyDescent="0.3">
      <c r="A7" s="912" t="s">
        <v>543</v>
      </c>
      <c r="B7" s="913"/>
      <c r="C7" s="53">
        <f>'Cover Sheet'!B11*IDDE!C8</f>
        <v>1.2000000000000002</v>
      </c>
      <c r="D7" s="1"/>
      <c r="E7" s="1"/>
      <c r="F7" s="1"/>
      <c r="G7" s="1"/>
      <c r="I7" s="1"/>
    </row>
    <row r="8" spans="1:9" customFormat="1" ht="36.9" customHeight="1" x14ac:dyDescent="0.3">
      <c r="A8" s="912" t="s">
        <v>544</v>
      </c>
      <c r="B8" s="913"/>
      <c r="C8" s="269">
        <f>'Cover Sheet'!B14</f>
        <v>0.1</v>
      </c>
      <c r="D8" s="1"/>
      <c r="E8" s="1"/>
      <c r="F8" s="1"/>
      <c r="G8" s="1"/>
      <c r="I8" s="1"/>
    </row>
    <row r="9" spans="1:9" customFormat="1" ht="42.9" customHeight="1" x14ac:dyDescent="0.3">
      <c r="A9" s="912" t="s">
        <v>575</v>
      </c>
      <c r="B9" s="913"/>
      <c r="C9" s="53">
        <f>'Cover Sheet'!B15</f>
        <v>3</v>
      </c>
      <c r="D9" s="1"/>
      <c r="E9" s="1"/>
      <c r="F9" s="1"/>
      <c r="G9" s="1"/>
      <c r="I9" s="1"/>
    </row>
    <row r="10" spans="1:9" customFormat="1" ht="42.9" customHeight="1" x14ac:dyDescent="0.3">
      <c r="A10" s="912" t="s">
        <v>576</v>
      </c>
      <c r="B10" s="913"/>
      <c r="C10" s="53">
        <f>'Cover Sheet'!B16</f>
        <v>9</v>
      </c>
      <c r="D10" s="1"/>
      <c r="E10" s="1"/>
      <c r="F10" s="1"/>
      <c r="G10" s="1"/>
      <c r="I10" s="1"/>
    </row>
    <row r="11" spans="1:9" customFormat="1" ht="42.9" customHeight="1" x14ac:dyDescent="0.3">
      <c r="A11" s="916" t="s">
        <v>589</v>
      </c>
      <c r="B11" s="917"/>
      <c r="C11" s="423">
        <f>'Cover Sheet'!C17</f>
        <v>1</v>
      </c>
      <c r="D11" s="1"/>
      <c r="E11" s="1"/>
      <c r="F11" s="1"/>
      <c r="G11" s="1"/>
      <c r="I11" s="1"/>
    </row>
    <row r="12" spans="1:9" customFormat="1" ht="21.9" customHeight="1" x14ac:dyDescent="0.3">
      <c r="A12" s="798" t="s">
        <v>382</v>
      </c>
      <c r="B12" s="799"/>
      <c r="C12" s="54">
        <f>'Cover Sheet'!B8</f>
        <v>100</v>
      </c>
      <c r="D12" s="1"/>
      <c r="E12" s="1"/>
      <c r="F12" s="1"/>
      <c r="G12" s="1"/>
      <c r="I12" s="1"/>
    </row>
    <row r="13" spans="1:9" customFormat="1" ht="28.65" customHeight="1" x14ac:dyDescent="0.3">
      <c r="A13" s="912" t="s">
        <v>337</v>
      </c>
      <c r="B13" s="913"/>
      <c r="C13" s="54">
        <f>'WQ Analysis Costs'!D8</f>
        <v>56.764666666666663</v>
      </c>
      <c r="D13" s="1"/>
      <c r="E13" s="1"/>
      <c r="F13" s="1"/>
      <c r="G13" s="1"/>
      <c r="I13" s="1"/>
    </row>
    <row r="14" spans="1:9" customFormat="1" ht="42.9" customHeight="1" x14ac:dyDescent="0.3">
      <c r="A14" s="914" t="s">
        <v>338</v>
      </c>
      <c r="B14" s="915"/>
      <c r="C14" s="236">
        <f>'WQ Analysis Costs'!B5</f>
        <v>469</v>
      </c>
      <c r="D14" s="1"/>
      <c r="E14" s="1"/>
      <c r="F14" s="1"/>
      <c r="G14" s="1"/>
      <c r="I14" s="1"/>
    </row>
    <row r="15" spans="1:9" customFormat="1" x14ac:dyDescent="0.3">
      <c r="I15" s="24"/>
    </row>
    <row r="16" spans="1:9" customFormat="1" ht="21.9" customHeight="1" x14ac:dyDescent="0.3">
      <c r="D16" s="3"/>
      <c r="H16" s="1"/>
      <c r="I16" s="1"/>
    </row>
    <row r="17" spans="1:30" customFormat="1" ht="21.9" customHeight="1" x14ac:dyDescent="0.3">
      <c r="A17" s="72"/>
      <c r="B17" s="720" t="s">
        <v>533</v>
      </c>
      <c r="C17" s="720"/>
      <c r="D17" s="720" t="s">
        <v>294</v>
      </c>
      <c r="E17" s="721"/>
      <c r="F17" s="1"/>
      <c r="G17" s="1"/>
      <c r="I17" s="1"/>
    </row>
    <row r="18" spans="1:30" customFormat="1" ht="21.9" customHeight="1" x14ac:dyDescent="0.3">
      <c r="A18" s="102"/>
      <c r="B18" s="103" t="s">
        <v>340</v>
      </c>
      <c r="C18" s="103" t="s">
        <v>341</v>
      </c>
      <c r="D18" s="103" t="s">
        <v>340</v>
      </c>
      <c r="E18" s="104" t="s">
        <v>341</v>
      </c>
      <c r="F18" s="1"/>
      <c r="G18" s="1"/>
      <c r="I18" s="1"/>
    </row>
    <row r="19" spans="1:30" customFormat="1" ht="21.9" customHeight="1" x14ac:dyDescent="0.3">
      <c r="A19" s="85" t="s">
        <v>83</v>
      </c>
      <c r="B19" s="86">
        <f>ROUND((((O31+O35+O43+O49+O52+O56+O60+O67+O74+O79+O80)*$C$12)+(Q31+Q35+Q43+Q49+Q56+Q60+Q67+Q74+Q79+Q7+Q80)),3-(INT(LOG((((O31+O35+O43+O49+O52+O56+O60+O67+O74+O79+O80)*$C$12)+(Q31+Q35+Q43+Q49+Q56+Q60+Q67+Q74+Q79+Q7+Q80)))+1)))</f>
        <v>4500</v>
      </c>
      <c r="C19" s="86">
        <f>ROUND((((P31+P35+P43+P49+P52+P56+P60+P67+P74+P79+P80)*$C$12)+(R31+R35+R43+R49+R56+R60+R67+R74+R79+R7+R80)),3-(INT(LOG((((P31+P35+P43+P49+P52+P56+P60+P67+P74+P79+P80)*$C$12)+(R31+R35+R43+R49+R56+R60+R67+R74+R79+R7+R80)))+1)))</f>
        <v>10500</v>
      </c>
      <c r="D19" s="232">
        <f>ROUND(((O31+O35+O43+O49+O52+O56+O60+O67+O74+O79+O80)),3-(INT(LOG(((O31+O35+O43+O49+O52+O56+O60+O67+O74+O79+O80)))+1)))</f>
        <v>44</v>
      </c>
      <c r="E19" s="232">
        <f>ROUND(((P31+P35+P43+P49+P52+P56+P60+P67+P74+P79+P80)),3-(INT(LOG(((P31+P35+P43+P49+P52+P56+P60+P67+P74+P79+P80)))+1)))</f>
        <v>100</v>
      </c>
      <c r="F19" s="425"/>
      <c r="G19" s="1"/>
      <c r="I19" s="1"/>
    </row>
    <row r="20" spans="1:30" customFormat="1" ht="21.9" customHeight="1" x14ac:dyDescent="0.3">
      <c r="A20" s="90" t="s">
        <v>534</v>
      </c>
      <c r="B20" s="323">
        <f>ROUND((T30+T34+T36+T38+T39+T40+T45+T47+T51+T52-(O52*C12)+T54+T55+T58+T59+T61+T62+T63+T64+T65+T66+T69+T72),3-(INT(LOG((T30+T34+T36+T38+T39+T40+T45+T47+T51+T52-(O52*C12)+T54+T55+T58+T59+T61+T62+T63+T64+T65+T66+T69+T72))+1)))</f>
        <v>35600</v>
      </c>
      <c r="C20" s="323">
        <f>ROUND((U30+U34+U36+U38+U39+U40+U45+U47+U51-(P52*C12)+U52+U54+U55+U58+U59+U61+U62+U63+U64+U65+U66+U69+U72-U61),3-(INT(LOG((U30+U34+U36+U38+U39+U40+U45+U47+U51-(P52*C12)+U52+U54+U55+U58+U59+U61+U62+U63+U64+U65+U66+U69+U72-U61))+1)))</f>
        <v>101000</v>
      </c>
      <c r="D20" s="286">
        <f>ROUND((V30+V34+V36+V38+V39+V40+V45+V47+V51+V52-(O52*5)+V54+V55+V58+V59+V61+V62+V63+V64+V65+V66+V69+V72),3-(INT(LOG((V30+V34+V36+V38+V39+V40+V45+V47+V51+V52-(O52*5)+V54+V55+V58+V59+V61+V62+V63+V64+V65+V66+V69+V72))+1)))</f>
        <v>240</v>
      </c>
      <c r="E20" s="286">
        <f>ROUND((W30+W34+W36+W38+W39+W40+W45+W47+W51+W52-(P52*5)+W54+W55+W58+W59+W61+W62+W63+W64+W65+W66+W69+W72-L61),3-(INT(LOG((W30+W34+W36+W38+W39+W40+W45+W47+W51+W52-(P52*5)+W54+W55+W58+W59+W61+W62+W63+W64+W65+W66+W69+W72-L61))+1)))</f>
        <v>828</v>
      </c>
      <c r="F20" s="425"/>
      <c r="G20" s="1"/>
      <c r="I20" s="1"/>
    </row>
    <row r="21" spans="1:30" customFormat="1" ht="21.9" customHeight="1" x14ac:dyDescent="0.3">
      <c r="A21" s="94" t="s">
        <v>82</v>
      </c>
      <c r="B21" s="95">
        <f>T32+T42+T53+T70+T71+T75+T77</f>
        <v>0</v>
      </c>
      <c r="C21" s="95">
        <f>ROUND((U32+U42+U53+U70+U71+U75+U77),3-(INT(LOG((U32+U42+U53+U70+U71+U75+U77))+1)))</f>
        <v>43700</v>
      </c>
      <c r="D21" s="272">
        <f>V32+V42+V53+V70+V71+V75+V77</f>
        <v>0</v>
      </c>
      <c r="E21" s="272">
        <f>ROUND((W32+W42+W53+W70+W71+W75+W77),3-(INT(LOG((W32+W42+W53+W70+W71+W75+W77))+1)))</f>
        <v>420</v>
      </c>
      <c r="F21" s="1"/>
      <c r="G21" s="1"/>
      <c r="I21" s="1"/>
    </row>
    <row r="22" spans="1:30" customFormat="1" ht="21.9" customHeight="1" x14ac:dyDescent="0.3">
      <c r="A22" s="180" t="s">
        <v>535</v>
      </c>
      <c r="B22" s="181">
        <f>T81</f>
        <v>48500</v>
      </c>
      <c r="C22" s="181">
        <f>U81</f>
        <v>138000</v>
      </c>
      <c r="D22" s="287">
        <f>V81</f>
        <v>460</v>
      </c>
      <c r="E22" s="288">
        <f>W81</f>
        <v>1330</v>
      </c>
      <c r="F22" s="1"/>
      <c r="G22" s="1"/>
      <c r="I22" s="1"/>
    </row>
    <row r="23" spans="1:30" customFormat="1" ht="21.9" customHeight="1" x14ac:dyDescent="0.3">
      <c r="A23" s="184" t="s">
        <v>536</v>
      </c>
      <c r="B23" s="185"/>
      <c r="C23" s="186"/>
      <c r="D23" s="185"/>
      <c r="E23" s="187"/>
      <c r="F23" s="1"/>
      <c r="G23" s="1"/>
      <c r="I23" s="1"/>
    </row>
    <row r="24" spans="1:30" x14ac:dyDescent="0.3">
      <c r="A24" s="47"/>
      <c r="E24" s="47"/>
    </row>
    <row r="25" spans="1:30" x14ac:dyDescent="0.3">
      <c r="A25" s="47"/>
      <c r="E25" s="47"/>
    </row>
    <row r="26" spans="1:30" ht="36" customHeight="1" x14ac:dyDescent="0.3">
      <c r="A26" s="895" t="s">
        <v>0</v>
      </c>
      <c r="B26" s="895" t="s">
        <v>49</v>
      </c>
      <c r="C26" s="898" t="s">
        <v>52</v>
      </c>
      <c r="D26" s="898" t="s">
        <v>136</v>
      </c>
      <c r="E26" s="898" t="s">
        <v>90</v>
      </c>
      <c r="F26" s="937" t="s">
        <v>3</v>
      </c>
      <c r="G26" s="937"/>
      <c r="H26" s="937"/>
      <c r="I26" s="937"/>
      <c r="J26" s="776" t="s">
        <v>1</v>
      </c>
      <c r="K26" s="777" t="s">
        <v>551</v>
      </c>
      <c r="L26" s="777"/>
      <c r="M26" s="777"/>
      <c r="N26" s="777"/>
      <c r="O26" s="865" t="s">
        <v>552</v>
      </c>
      <c r="P26" s="929"/>
      <c r="Q26" s="929"/>
      <c r="R26" s="929"/>
      <c r="S26" s="930" t="s">
        <v>299</v>
      </c>
      <c r="T26" s="865" t="s">
        <v>553</v>
      </c>
      <c r="U26" s="929"/>
      <c r="V26" s="929"/>
      <c r="W26" s="866"/>
      <c r="X26" s="863" t="s">
        <v>78</v>
      </c>
      <c r="Y26" s="804" t="s">
        <v>296</v>
      </c>
    </row>
    <row r="27" spans="1:30" s="311" customFormat="1" ht="36" customHeight="1" x14ac:dyDescent="0.3">
      <c r="A27" s="896"/>
      <c r="B27" s="896"/>
      <c r="C27" s="899"/>
      <c r="D27" s="899"/>
      <c r="E27" s="899"/>
      <c r="F27" s="938"/>
      <c r="G27" s="938"/>
      <c r="H27" s="938"/>
      <c r="I27" s="938"/>
      <c r="J27" s="776"/>
      <c r="K27" s="788" t="s">
        <v>294</v>
      </c>
      <c r="L27" s="788"/>
      <c r="M27" s="781" t="s">
        <v>556</v>
      </c>
      <c r="N27" s="781"/>
      <c r="O27" s="782" t="s">
        <v>357</v>
      </c>
      <c r="P27" s="782"/>
      <c r="Q27" s="781" t="s">
        <v>339</v>
      </c>
      <c r="R27" s="781"/>
      <c r="S27" s="930"/>
      <c r="T27" s="783" t="s">
        <v>362</v>
      </c>
      <c r="U27" s="783"/>
      <c r="V27" s="783" t="s">
        <v>526</v>
      </c>
      <c r="W27" s="783"/>
      <c r="X27" s="863"/>
      <c r="Y27" s="804"/>
    </row>
    <row r="28" spans="1:30" s="311" customFormat="1" ht="36" customHeight="1" x14ac:dyDescent="0.3">
      <c r="A28" s="897"/>
      <c r="B28" s="897"/>
      <c r="C28" s="900"/>
      <c r="D28" s="900"/>
      <c r="E28" s="900"/>
      <c r="F28" s="787"/>
      <c r="G28" s="787"/>
      <c r="H28" s="787"/>
      <c r="I28" s="787"/>
      <c r="J28" s="777"/>
      <c r="K28" s="303" t="s">
        <v>340</v>
      </c>
      <c r="L28" s="303" t="s">
        <v>341</v>
      </c>
      <c r="M28" s="312" t="s">
        <v>340</v>
      </c>
      <c r="N28" s="312" t="s">
        <v>341</v>
      </c>
      <c r="O28" s="299" t="s">
        <v>340</v>
      </c>
      <c r="P28" s="299" t="s">
        <v>341</v>
      </c>
      <c r="Q28" s="312" t="s">
        <v>340</v>
      </c>
      <c r="R28" s="312" t="s">
        <v>341</v>
      </c>
      <c r="S28" s="931"/>
      <c r="T28" s="303" t="s">
        <v>340</v>
      </c>
      <c r="U28" s="303" t="s">
        <v>341</v>
      </c>
      <c r="V28" s="303" t="s">
        <v>340</v>
      </c>
      <c r="W28" s="303" t="s">
        <v>341</v>
      </c>
      <c r="X28" s="865"/>
      <c r="Y28" s="929"/>
    </row>
    <row r="29" spans="1:30" s="216" customFormat="1" ht="36" customHeight="1" x14ac:dyDescent="0.3">
      <c r="A29" s="190">
        <v>1</v>
      </c>
      <c r="B29" s="190"/>
      <c r="C29" s="190"/>
      <c r="D29" s="190"/>
      <c r="E29" s="190"/>
      <c r="F29" s="907" t="s">
        <v>89</v>
      </c>
      <c r="G29" s="908"/>
      <c r="H29" s="908"/>
      <c r="I29" s="909"/>
      <c r="J29" s="237" t="s">
        <v>84</v>
      </c>
      <c r="K29" s="237"/>
      <c r="L29" s="237"/>
      <c r="M29" s="238"/>
      <c r="N29" s="238"/>
      <c r="O29" s="237"/>
      <c r="P29" s="237"/>
      <c r="Q29" s="238"/>
      <c r="R29" s="238"/>
      <c r="S29" s="237"/>
      <c r="T29" s="237"/>
      <c r="U29" s="237"/>
      <c r="V29" s="237"/>
      <c r="W29" s="237"/>
      <c r="X29" s="239"/>
      <c r="Y29" s="239"/>
    </row>
    <row r="30" spans="1:30" s="204" customFormat="1" ht="57.6" x14ac:dyDescent="0.3">
      <c r="A30" s="200">
        <v>1.1000000000000001</v>
      </c>
      <c r="B30" s="200" t="s">
        <v>2</v>
      </c>
      <c r="C30" s="200" t="s">
        <v>85</v>
      </c>
      <c r="D30" s="201" t="s">
        <v>81</v>
      </c>
      <c r="E30" s="200"/>
      <c r="F30" s="904" t="s">
        <v>86</v>
      </c>
      <c r="G30" s="905"/>
      <c r="H30" s="905"/>
      <c r="I30" s="906"/>
      <c r="J30" s="213" t="s">
        <v>5</v>
      </c>
      <c r="K30" s="213">
        <v>0</v>
      </c>
      <c r="L30" s="213">
        <v>24</v>
      </c>
      <c r="M30" s="240">
        <v>0</v>
      </c>
      <c r="N30" s="240">
        <v>0</v>
      </c>
      <c r="O30" s="213">
        <v>0</v>
      </c>
      <c r="P30" s="213">
        <v>0</v>
      </c>
      <c r="Q30" s="240">
        <v>0</v>
      </c>
      <c r="R30" s="240">
        <v>0</v>
      </c>
      <c r="S30" s="213">
        <v>0</v>
      </c>
      <c r="T30" s="240">
        <f>K30*$C$12+M30+((O30*$C$12+Q30)*S30)</f>
        <v>0</v>
      </c>
      <c r="U30" s="240">
        <f>L30*$C$12+N30+((P30*$C$12+R30)*S30)</f>
        <v>2400</v>
      </c>
      <c r="V30" s="241">
        <f>K30+(O30*S30)</f>
        <v>0</v>
      </c>
      <c r="W30" s="241">
        <f>L30+(P30*S30)</f>
        <v>24</v>
      </c>
      <c r="X30" s="207" t="s">
        <v>342</v>
      </c>
      <c r="Y30" s="200" t="s">
        <v>523</v>
      </c>
      <c r="Z30" s="200"/>
      <c r="AA30" s="200"/>
      <c r="AB30" s="200"/>
      <c r="AC30" s="200"/>
      <c r="AD30" s="200"/>
    </row>
    <row r="31" spans="1:30" s="204" customFormat="1" ht="36" customHeight="1" x14ac:dyDescent="0.3">
      <c r="A31" s="200">
        <f>A30+0.1</f>
        <v>1.2000000000000002</v>
      </c>
      <c r="B31" s="200" t="s">
        <v>2</v>
      </c>
      <c r="C31" s="200"/>
      <c r="D31" s="260" t="s">
        <v>83</v>
      </c>
      <c r="E31" s="200" t="s">
        <v>91</v>
      </c>
      <c r="F31" s="918" t="s">
        <v>87</v>
      </c>
      <c r="G31" s="919"/>
      <c r="H31" s="919"/>
      <c r="I31" s="920"/>
      <c r="J31" s="213" t="s">
        <v>5</v>
      </c>
      <c r="K31" s="213">
        <v>0</v>
      </c>
      <c r="L31" s="213">
        <v>0</v>
      </c>
      <c r="M31" s="213">
        <v>0</v>
      </c>
      <c r="N31" s="213">
        <v>0</v>
      </c>
      <c r="O31" s="213">
        <v>0</v>
      </c>
      <c r="P31" s="213">
        <v>0</v>
      </c>
      <c r="Q31" s="213">
        <v>0</v>
      </c>
      <c r="R31" s="213">
        <v>0</v>
      </c>
      <c r="S31" s="213">
        <v>0</v>
      </c>
      <c r="T31" s="240">
        <f>K31*$C$12+M31+((O31*$C$12+Q31)*S31)</f>
        <v>0</v>
      </c>
      <c r="U31" s="240">
        <f>L31*$C$12+N31+((P31*$C$12+R31)*S31)</f>
        <v>0</v>
      </c>
      <c r="V31" s="241">
        <f>K31+(O31*S31)</f>
        <v>0</v>
      </c>
      <c r="W31" s="241">
        <f>L31+(P31*S31)</f>
        <v>0</v>
      </c>
      <c r="X31" s="207" t="s">
        <v>363</v>
      </c>
      <c r="Y31" s="200" t="s">
        <v>523</v>
      </c>
      <c r="Z31" s="200"/>
      <c r="AA31" s="200"/>
      <c r="AB31" s="200"/>
      <c r="AC31" s="200"/>
      <c r="AD31" s="200"/>
    </row>
    <row r="32" spans="1:30" s="204" customFormat="1" ht="43.2" x14ac:dyDescent="0.3">
      <c r="A32" s="200">
        <f>A31+0.1</f>
        <v>1.3000000000000003</v>
      </c>
      <c r="B32" s="200" t="s">
        <v>2</v>
      </c>
      <c r="C32" s="200"/>
      <c r="D32" s="211" t="s">
        <v>82</v>
      </c>
      <c r="E32" s="200" t="s">
        <v>91</v>
      </c>
      <c r="F32" s="923" t="s">
        <v>264</v>
      </c>
      <c r="G32" s="924"/>
      <c r="H32" s="924"/>
      <c r="I32" s="925"/>
      <c r="J32" s="213" t="s">
        <v>6</v>
      </c>
      <c r="K32" s="213">
        <v>0</v>
      </c>
      <c r="L32" s="213">
        <v>0</v>
      </c>
      <c r="M32" s="240">
        <v>0</v>
      </c>
      <c r="N32" s="240">
        <v>0</v>
      </c>
      <c r="O32" s="213">
        <v>0</v>
      </c>
      <c r="P32" s="213">
        <v>4</v>
      </c>
      <c r="Q32" s="240">
        <v>0</v>
      </c>
      <c r="R32" s="240">
        <v>0</v>
      </c>
      <c r="S32" s="213">
        <v>5</v>
      </c>
      <c r="T32" s="267">
        <f>K32*$C$12+M32+((O32*$C$12+Q32)*S32)</f>
        <v>0</v>
      </c>
      <c r="U32" s="267">
        <f>L32*$C$12+N32+((P32*$C$12+R32)*S32)</f>
        <v>2000</v>
      </c>
      <c r="V32" s="268">
        <f>K32+(O32*S32)</f>
        <v>0</v>
      </c>
      <c r="W32" s="268">
        <f>L32+(P32*S32)</f>
        <v>20</v>
      </c>
      <c r="X32" s="207" t="s">
        <v>343</v>
      </c>
      <c r="Y32" s="200" t="s">
        <v>523</v>
      </c>
      <c r="Z32" s="200"/>
      <c r="AA32" s="200"/>
      <c r="AB32" s="200"/>
      <c r="AC32" s="200"/>
      <c r="AD32" s="200"/>
    </row>
    <row r="33" spans="1:31" s="216" customFormat="1" ht="36" customHeight="1" x14ac:dyDescent="0.3">
      <c r="A33" s="190">
        <v>2</v>
      </c>
      <c r="B33" s="190"/>
      <c r="C33" s="190"/>
      <c r="D33" s="190"/>
      <c r="E33" s="190"/>
      <c r="F33" s="907" t="s">
        <v>88</v>
      </c>
      <c r="G33" s="908"/>
      <c r="H33" s="908"/>
      <c r="I33" s="909"/>
      <c r="J33" s="237" t="s">
        <v>7</v>
      </c>
      <c r="K33" s="237"/>
      <c r="L33" s="237"/>
      <c r="M33" s="238"/>
      <c r="N33" s="238"/>
      <c r="O33" s="237"/>
      <c r="P33" s="237"/>
      <c r="Q33" s="238"/>
      <c r="R33" s="238"/>
      <c r="S33" s="237"/>
      <c r="T33" s="237"/>
      <c r="U33" s="237"/>
      <c r="V33" s="242"/>
      <c r="W33" s="242"/>
      <c r="X33" s="239"/>
      <c r="Y33" s="239"/>
    </row>
    <row r="34" spans="1:31" s="204" customFormat="1" ht="36" customHeight="1" x14ac:dyDescent="0.3">
      <c r="A34" s="200">
        <f>A33+0.1</f>
        <v>2.1</v>
      </c>
      <c r="B34" s="200" t="s">
        <v>107</v>
      </c>
      <c r="C34" s="200" t="s">
        <v>79</v>
      </c>
      <c r="D34" s="201" t="s">
        <v>81</v>
      </c>
      <c r="E34" s="200"/>
      <c r="F34" s="904" t="s">
        <v>265</v>
      </c>
      <c r="G34" s="905"/>
      <c r="H34" s="905"/>
      <c r="I34" s="906"/>
      <c r="J34" s="213" t="s">
        <v>9</v>
      </c>
      <c r="K34" s="213">
        <v>0</v>
      </c>
      <c r="L34" s="213">
        <v>0</v>
      </c>
      <c r="M34" s="206">
        <v>0</v>
      </c>
      <c r="N34" s="206">
        <v>0</v>
      </c>
      <c r="O34" s="213">
        <v>0</v>
      </c>
      <c r="P34" s="213">
        <v>0</v>
      </c>
      <c r="Q34" s="206">
        <v>0</v>
      </c>
      <c r="R34" s="206">
        <v>0</v>
      </c>
      <c r="S34" s="213">
        <v>0</v>
      </c>
      <c r="T34" s="240">
        <f>K34*$C$12+M34+((O34*$C$12+Q34)*S34)</f>
        <v>0</v>
      </c>
      <c r="U34" s="240">
        <f>L34*$C$12+N34+((P34*$C$12+R34)*S34)</f>
        <v>0</v>
      </c>
      <c r="V34" s="241">
        <f>K34+(O34*S34)</f>
        <v>0</v>
      </c>
      <c r="W34" s="241">
        <f>L34+(P34*S34)</f>
        <v>0</v>
      </c>
      <c r="X34" s="209" t="s">
        <v>365</v>
      </c>
      <c r="Y34" s="200" t="s">
        <v>523</v>
      </c>
      <c r="Z34" s="200"/>
      <c r="AA34" s="200"/>
      <c r="AB34" s="200"/>
      <c r="AC34" s="200"/>
      <c r="AD34" s="200"/>
    </row>
    <row r="35" spans="1:31" s="204" customFormat="1" ht="36" customHeight="1" x14ac:dyDescent="0.3">
      <c r="A35" s="200">
        <f>A34+0.1</f>
        <v>2.2000000000000002</v>
      </c>
      <c r="B35" s="200" t="s">
        <v>2</v>
      </c>
      <c r="C35" s="200"/>
      <c r="D35" s="260" t="s">
        <v>83</v>
      </c>
      <c r="E35" s="200" t="s">
        <v>91</v>
      </c>
      <c r="F35" s="918" t="s">
        <v>92</v>
      </c>
      <c r="G35" s="919"/>
      <c r="H35" s="919"/>
      <c r="I35" s="920"/>
      <c r="J35" s="213" t="s">
        <v>8</v>
      </c>
      <c r="K35" s="213">
        <v>0</v>
      </c>
      <c r="L35" s="213">
        <v>0</v>
      </c>
      <c r="M35" s="240">
        <v>0</v>
      </c>
      <c r="N35" s="240">
        <v>0</v>
      </c>
      <c r="O35" s="213">
        <v>0</v>
      </c>
      <c r="P35" s="213">
        <v>16</v>
      </c>
      <c r="Q35" s="240">
        <v>0</v>
      </c>
      <c r="R35" s="240">
        <v>0</v>
      </c>
      <c r="S35" s="213">
        <v>5</v>
      </c>
      <c r="T35" s="240">
        <f>K35*$C$12+M35+((O35*$C$12+Q35)*S35)</f>
        <v>0</v>
      </c>
      <c r="U35" s="240">
        <f>L35*$C$12+N35+((P35*$C$12+R35)*S35)</f>
        <v>8000</v>
      </c>
      <c r="V35" s="241">
        <f>K35+(O35*S35)</f>
        <v>0</v>
      </c>
      <c r="W35" s="241">
        <f>L35+(P35*S35)</f>
        <v>80</v>
      </c>
      <c r="Y35" s="200" t="s">
        <v>523</v>
      </c>
      <c r="Z35" s="200"/>
      <c r="AA35" s="200"/>
      <c r="AB35" s="200"/>
      <c r="AC35" s="200"/>
      <c r="AD35" s="200"/>
    </row>
    <row r="36" spans="1:31" s="204" customFormat="1" ht="36" customHeight="1" x14ac:dyDescent="0.3">
      <c r="A36" s="200">
        <f>A35+0.1</f>
        <v>2.3000000000000003</v>
      </c>
      <c r="B36" s="200" t="s">
        <v>170</v>
      </c>
      <c r="C36" s="200" t="s">
        <v>93</v>
      </c>
      <c r="D36" s="201" t="s">
        <v>81</v>
      </c>
      <c r="E36" s="200"/>
      <c r="F36" s="892" t="s">
        <v>95</v>
      </c>
      <c r="G36" s="893"/>
      <c r="H36" s="893"/>
      <c r="I36" s="894"/>
      <c r="J36" s="213" t="s">
        <v>8</v>
      </c>
      <c r="K36" s="213">
        <v>0</v>
      </c>
      <c r="L36" s="213">
        <v>0</v>
      </c>
      <c r="M36" s="213">
        <v>0</v>
      </c>
      <c r="N36" s="213">
        <v>0</v>
      </c>
      <c r="O36" s="213">
        <v>0</v>
      </c>
      <c r="P36" s="213">
        <v>0</v>
      </c>
      <c r="Q36" s="213">
        <v>0</v>
      </c>
      <c r="R36" s="213">
        <v>0</v>
      </c>
      <c r="S36" s="213">
        <v>0</v>
      </c>
      <c r="T36" s="240">
        <f>K36*$C$12+M36+((O36*$C$12+Q36)*S36)</f>
        <v>0</v>
      </c>
      <c r="U36" s="240">
        <f>L36*$C$12+N36+((P36*$C$12+R36)*S36)</f>
        <v>0</v>
      </c>
      <c r="V36" s="241">
        <f>K36+(O36*S36)</f>
        <v>0</v>
      </c>
      <c r="W36" s="241">
        <f>L36+(P36*S36)</f>
        <v>0</v>
      </c>
      <c r="X36" s="204" t="s">
        <v>344</v>
      </c>
      <c r="Y36" s="200" t="s">
        <v>523</v>
      </c>
      <c r="Z36" s="200"/>
      <c r="AA36" s="200"/>
      <c r="AB36" s="200"/>
      <c r="AC36" s="200"/>
      <c r="AD36" s="200"/>
    </row>
    <row r="37" spans="1:31" s="216" customFormat="1" ht="36" customHeight="1" x14ac:dyDescent="0.3">
      <c r="A37" s="190">
        <v>3</v>
      </c>
      <c r="B37" s="190"/>
      <c r="C37" s="190"/>
      <c r="D37" s="190"/>
      <c r="E37" s="190"/>
      <c r="F37" s="907" t="s">
        <v>94</v>
      </c>
      <c r="G37" s="908"/>
      <c r="H37" s="908"/>
      <c r="I37" s="909"/>
      <c r="J37" s="237" t="s">
        <v>10</v>
      </c>
      <c r="K37" s="237"/>
      <c r="L37" s="237"/>
      <c r="M37" s="238"/>
      <c r="N37" s="238"/>
      <c r="O37" s="237"/>
      <c r="P37" s="237"/>
      <c r="Q37" s="238"/>
      <c r="R37" s="238"/>
      <c r="S37" s="237"/>
      <c r="T37" s="237"/>
      <c r="U37" s="237"/>
      <c r="V37" s="242"/>
      <c r="W37" s="242"/>
      <c r="X37" s="239"/>
      <c r="Y37" s="239"/>
    </row>
    <row r="38" spans="1:31" s="204" customFormat="1" ht="142.65" customHeight="1" x14ac:dyDescent="0.3">
      <c r="A38" s="200">
        <v>3.1</v>
      </c>
      <c r="B38" s="200" t="s">
        <v>171</v>
      </c>
      <c r="C38" s="200" t="s">
        <v>97</v>
      </c>
      <c r="D38" s="203" t="s">
        <v>172</v>
      </c>
      <c r="E38" s="200"/>
      <c r="F38" s="904" t="s">
        <v>103</v>
      </c>
      <c r="G38" s="905"/>
      <c r="H38" s="905"/>
      <c r="I38" s="906"/>
      <c r="J38" s="213" t="s">
        <v>102</v>
      </c>
      <c r="K38" s="338">
        <v>130</v>
      </c>
      <c r="L38" s="338">
        <f>C3/25*8*2+(C3/25*2)</f>
        <v>556.56000000000006</v>
      </c>
      <c r="M38" s="244">
        <v>0</v>
      </c>
      <c r="N38" s="244">
        <f>C3/25*50</f>
        <v>1546</v>
      </c>
      <c r="O38" s="338">
        <v>0</v>
      </c>
      <c r="P38" s="338">
        <v>0</v>
      </c>
      <c r="Q38" s="933">
        <v>0</v>
      </c>
      <c r="R38" s="933"/>
      <c r="S38" s="338">
        <v>0</v>
      </c>
      <c r="T38" s="244">
        <f>K38*$C$12+M38+((O38*$C$12+Q38)*S38)</f>
        <v>13000</v>
      </c>
      <c r="U38" s="240">
        <f t="shared" ref="U38:U43" si="0">L38*$C$12+N38+((P38*$C$12+R38)*S38)</f>
        <v>57202.000000000007</v>
      </c>
      <c r="V38" s="241">
        <f t="shared" ref="V38:V43" si="1">K38+(O38*S38)</f>
        <v>130</v>
      </c>
      <c r="W38" s="241">
        <f t="shared" ref="W38:W43" si="2">L38+(P38*S38)</f>
        <v>556.56000000000006</v>
      </c>
      <c r="X38" s="207" t="s">
        <v>612</v>
      </c>
      <c r="Y38" s="209" t="s">
        <v>364</v>
      </c>
      <c r="Z38" s="396"/>
      <c r="AA38" s="200"/>
      <c r="AB38" s="200"/>
      <c r="AC38" s="200"/>
      <c r="AD38" s="200"/>
    </row>
    <row r="39" spans="1:31" s="204" customFormat="1" ht="36" customHeight="1" x14ac:dyDescent="0.3">
      <c r="A39" s="200">
        <f>A38+0.1</f>
        <v>3.2</v>
      </c>
      <c r="B39" s="200" t="s">
        <v>171</v>
      </c>
      <c r="C39" s="200" t="s">
        <v>97</v>
      </c>
      <c r="D39" s="201" t="s">
        <v>81</v>
      </c>
      <c r="F39" s="892" t="s">
        <v>96</v>
      </c>
      <c r="G39" s="893"/>
      <c r="H39" s="893"/>
      <c r="I39" s="894"/>
      <c r="J39" s="213" t="s">
        <v>11</v>
      </c>
      <c r="K39" s="213">
        <f>C2/20*8</f>
        <v>4.8</v>
      </c>
      <c r="L39" s="213">
        <v>80</v>
      </c>
      <c r="M39" s="206">
        <v>0</v>
      </c>
      <c r="N39" s="206">
        <v>0</v>
      </c>
      <c r="O39" s="213">
        <v>0</v>
      </c>
      <c r="P39" s="213">
        <v>0</v>
      </c>
      <c r="Q39" s="206">
        <v>0</v>
      </c>
      <c r="R39" s="206">
        <v>0</v>
      </c>
      <c r="S39" s="213">
        <v>0</v>
      </c>
      <c r="T39" s="240">
        <f>K39*$C$12+M39+(((O39*$C$12)+Q39)*S39)</f>
        <v>480</v>
      </c>
      <c r="U39" s="240">
        <f t="shared" si="0"/>
        <v>8000</v>
      </c>
      <c r="V39" s="241">
        <f t="shared" si="1"/>
        <v>4.8</v>
      </c>
      <c r="W39" s="241">
        <f t="shared" si="2"/>
        <v>80</v>
      </c>
      <c r="X39" s="207" t="s">
        <v>345</v>
      </c>
      <c r="Y39" s="204" t="s">
        <v>334</v>
      </c>
      <c r="Z39" s="200"/>
      <c r="AA39" s="200"/>
      <c r="AB39" s="200"/>
      <c r="AC39" s="200"/>
      <c r="AD39" s="200"/>
      <c r="AE39" s="200"/>
    </row>
    <row r="40" spans="1:31" s="204" customFormat="1" ht="36" customHeight="1" x14ac:dyDescent="0.3">
      <c r="A40" s="200">
        <f>A39+0.1</f>
        <v>3.3000000000000003</v>
      </c>
      <c r="B40" s="200" t="s">
        <v>171</v>
      </c>
      <c r="C40" s="200" t="s">
        <v>97</v>
      </c>
      <c r="D40" s="203" t="s">
        <v>172</v>
      </c>
      <c r="F40" s="904" t="s">
        <v>98</v>
      </c>
      <c r="G40" s="905"/>
      <c r="H40" s="905"/>
      <c r="I40" s="906"/>
      <c r="J40" s="213" t="s">
        <v>12</v>
      </c>
      <c r="K40" s="213">
        <v>0</v>
      </c>
      <c r="L40" s="213">
        <v>20</v>
      </c>
      <c r="M40" s="206">
        <v>0</v>
      </c>
      <c r="N40" s="206">
        <v>0</v>
      </c>
      <c r="O40" s="213">
        <v>0</v>
      </c>
      <c r="P40" s="213">
        <v>0</v>
      </c>
      <c r="Q40" s="206">
        <v>0</v>
      </c>
      <c r="R40" s="206">
        <v>0</v>
      </c>
      <c r="S40" s="213">
        <v>0</v>
      </c>
      <c r="T40" s="240">
        <f>K40*$C$12+M40+((O40*$C$12+Q40)*S40)</f>
        <v>0</v>
      </c>
      <c r="U40" s="240">
        <f t="shared" si="0"/>
        <v>2000</v>
      </c>
      <c r="V40" s="241">
        <f t="shared" si="1"/>
        <v>0</v>
      </c>
      <c r="W40" s="241">
        <f t="shared" si="2"/>
        <v>20</v>
      </c>
      <c r="X40" s="207" t="s">
        <v>346</v>
      </c>
      <c r="Y40" s="200" t="s">
        <v>523</v>
      </c>
      <c r="Z40" s="200"/>
      <c r="AA40" s="200"/>
      <c r="AB40" s="200"/>
      <c r="AC40" s="200"/>
      <c r="AD40" s="200"/>
      <c r="AE40" s="200"/>
    </row>
    <row r="41" spans="1:31" s="204" customFormat="1" ht="36" customHeight="1" x14ac:dyDescent="0.3">
      <c r="A41" s="200">
        <f>A40+0.1</f>
        <v>3.4000000000000004</v>
      </c>
      <c r="B41" s="200" t="s">
        <v>171</v>
      </c>
      <c r="C41" s="209" t="s">
        <v>99</v>
      </c>
      <c r="D41" s="209" t="s">
        <v>99</v>
      </c>
      <c r="F41" s="200"/>
      <c r="G41" s="921" t="s">
        <v>100</v>
      </c>
      <c r="H41" s="921"/>
      <c r="I41" s="921"/>
      <c r="J41" s="213" t="s">
        <v>13</v>
      </c>
      <c r="K41" s="213">
        <v>0</v>
      </c>
      <c r="L41" s="213">
        <v>0</v>
      </c>
      <c r="M41" s="206">
        <v>0</v>
      </c>
      <c r="N41" s="206">
        <v>0</v>
      </c>
      <c r="O41" s="213">
        <v>0</v>
      </c>
      <c r="P41" s="213">
        <v>0</v>
      </c>
      <c r="Q41" s="206">
        <v>0</v>
      </c>
      <c r="R41" s="206">
        <v>0</v>
      </c>
      <c r="S41" s="213">
        <v>0</v>
      </c>
      <c r="T41" s="240">
        <f>K41*$C$12+M41+((O41*$C$12+Q41)*S41)</f>
        <v>0</v>
      </c>
      <c r="U41" s="240">
        <f t="shared" si="0"/>
        <v>0</v>
      </c>
      <c r="V41" s="241">
        <f t="shared" si="1"/>
        <v>0</v>
      </c>
      <c r="W41" s="241">
        <f t="shared" si="2"/>
        <v>0</v>
      </c>
      <c r="X41" s="204" t="s">
        <v>101</v>
      </c>
      <c r="Y41" s="200" t="s">
        <v>523</v>
      </c>
      <c r="Z41" s="200"/>
      <c r="AA41" s="200"/>
      <c r="AB41" s="200"/>
      <c r="AC41" s="200"/>
      <c r="AD41" s="200"/>
      <c r="AE41" s="200"/>
    </row>
    <row r="42" spans="1:31" s="204" customFormat="1" ht="44.25" customHeight="1" x14ac:dyDescent="0.3">
      <c r="A42" s="200">
        <f>A41+0.1</f>
        <v>3.5000000000000004</v>
      </c>
      <c r="B42" s="200" t="s">
        <v>171</v>
      </c>
      <c r="C42" s="209"/>
      <c r="D42" s="261" t="s">
        <v>82</v>
      </c>
      <c r="F42" s="923" t="s">
        <v>106</v>
      </c>
      <c r="G42" s="924"/>
      <c r="H42" s="924"/>
      <c r="I42" s="925"/>
      <c r="J42" s="213" t="s">
        <v>14</v>
      </c>
      <c r="K42" s="213">
        <v>0</v>
      </c>
      <c r="L42" s="213">
        <v>0</v>
      </c>
      <c r="M42" s="206">
        <v>0</v>
      </c>
      <c r="N42" s="206">
        <v>0</v>
      </c>
      <c r="O42" s="204">
        <v>0</v>
      </c>
      <c r="P42" s="204">
        <v>40</v>
      </c>
      <c r="Q42" s="206">
        <v>0</v>
      </c>
      <c r="R42" s="206">
        <v>0</v>
      </c>
      <c r="S42" s="204">
        <v>5</v>
      </c>
      <c r="T42" s="267">
        <f>K42*$C$12+M42+((O42*$C$12+Q42)*S42)</f>
        <v>0</v>
      </c>
      <c r="U42" s="267">
        <f t="shared" si="0"/>
        <v>20000</v>
      </c>
      <c r="V42" s="268">
        <f t="shared" si="1"/>
        <v>0</v>
      </c>
      <c r="W42" s="268">
        <f t="shared" si="2"/>
        <v>200</v>
      </c>
      <c r="X42" s="207" t="s">
        <v>587</v>
      </c>
      <c r="Y42" s="361" t="s">
        <v>586</v>
      </c>
      <c r="Z42" s="200"/>
      <c r="AA42" s="200"/>
      <c r="AB42" s="200"/>
      <c r="AC42" s="200"/>
      <c r="AD42" s="200"/>
      <c r="AE42" s="200"/>
    </row>
    <row r="43" spans="1:31" s="213" customFormat="1" ht="36" customHeight="1" x14ac:dyDescent="0.3">
      <c r="A43" s="200">
        <f>A42+0.1</f>
        <v>3.6000000000000005</v>
      </c>
      <c r="B43" s="243" t="s">
        <v>2</v>
      </c>
      <c r="C43" s="243"/>
      <c r="D43" s="230" t="s">
        <v>83</v>
      </c>
      <c r="E43" s="213" t="s">
        <v>91</v>
      </c>
      <c r="F43" s="918" t="s">
        <v>104</v>
      </c>
      <c r="G43" s="919"/>
      <c r="H43" s="919"/>
      <c r="I43" s="920"/>
      <c r="J43" s="213" t="s">
        <v>15</v>
      </c>
      <c r="K43" s="213">
        <v>0</v>
      </c>
      <c r="L43" s="213">
        <v>0</v>
      </c>
      <c r="M43" s="213">
        <v>0</v>
      </c>
      <c r="N43" s="213">
        <v>0</v>
      </c>
      <c r="O43" s="213">
        <v>0</v>
      </c>
      <c r="P43" s="213">
        <v>0</v>
      </c>
      <c r="Q43" s="213">
        <v>0</v>
      </c>
      <c r="R43" s="213">
        <v>0</v>
      </c>
      <c r="S43" s="213">
        <v>0</v>
      </c>
      <c r="T43" s="240">
        <f>K43*$C$12+M43+((O43*$C$12+Q43)*S43)</f>
        <v>0</v>
      </c>
      <c r="U43" s="240">
        <f t="shared" si="0"/>
        <v>0</v>
      </c>
      <c r="V43" s="241">
        <f t="shared" si="1"/>
        <v>0</v>
      </c>
      <c r="W43" s="241">
        <f t="shared" si="2"/>
        <v>0</v>
      </c>
      <c r="X43" s="207" t="s">
        <v>329</v>
      </c>
      <c r="Y43" s="200" t="s">
        <v>523</v>
      </c>
    </row>
    <row r="44" spans="1:31" s="216" customFormat="1" ht="36" customHeight="1" x14ac:dyDescent="0.3">
      <c r="A44" s="190">
        <v>4</v>
      </c>
      <c r="B44" s="190"/>
      <c r="C44" s="190"/>
      <c r="D44" s="190"/>
      <c r="E44" s="190"/>
      <c r="F44" s="907" t="s">
        <v>105</v>
      </c>
      <c r="G44" s="908"/>
      <c r="H44" s="908"/>
      <c r="I44" s="909"/>
      <c r="J44" s="237" t="s">
        <v>16</v>
      </c>
      <c r="K44" s="237"/>
      <c r="L44" s="237"/>
      <c r="M44" s="238"/>
      <c r="N44" s="238"/>
      <c r="O44" s="237"/>
      <c r="P44" s="237"/>
      <c r="Q44" s="238"/>
      <c r="R44" s="238"/>
      <c r="S44" s="237"/>
      <c r="T44" s="237"/>
      <c r="U44" s="237"/>
      <c r="V44" s="242"/>
      <c r="W44" s="242"/>
      <c r="X44" s="239"/>
      <c r="Y44" s="239"/>
    </row>
    <row r="45" spans="1:31" s="204" customFormat="1" ht="36" customHeight="1" x14ac:dyDescent="0.3">
      <c r="A45" s="200">
        <v>4.0999999999999996</v>
      </c>
      <c r="B45" s="200" t="s">
        <v>2</v>
      </c>
      <c r="C45" s="209" t="s">
        <v>108</v>
      </c>
      <c r="D45" s="203" t="s">
        <v>81</v>
      </c>
      <c r="F45" s="892" t="s">
        <v>109</v>
      </c>
      <c r="G45" s="893"/>
      <c r="H45" s="893"/>
      <c r="I45" s="894"/>
      <c r="J45" s="213" t="s">
        <v>17</v>
      </c>
      <c r="K45" s="213">
        <v>0</v>
      </c>
      <c r="L45" s="213">
        <v>0</v>
      </c>
      <c r="M45" s="244">
        <v>0</v>
      </c>
      <c r="N45" s="244">
        <v>0</v>
      </c>
      <c r="O45" s="243">
        <v>0</v>
      </c>
      <c r="P45" s="243">
        <v>0</v>
      </c>
      <c r="Q45" s="244">
        <v>0</v>
      </c>
      <c r="R45" s="244">
        <v>0</v>
      </c>
      <c r="S45" s="243">
        <v>0</v>
      </c>
      <c r="T45" s="240">
        <f>K45*$C$12+M45+((O45*$C$12+Q45)*S45)</f>
        <v>0</v>
      </c>
      <c r="U45" s="240">
        <f>L45*$C$12+N45+((P45*$C$12+R45)*S45)</f>
        <v>0</v>
      </c>
      <c r="V45" s="241">
        <f>K45+(O45*S45)</f>
        <v>0</v>
      </c>
      <c r="W45" s="241">
        <f>L45+(P45*S45)</f>
        <v>0</v>
      </c>
      <c r="X45" s="207" t="s">
        <v>305</v>
      </c>
      <c r="Y45" s="207" t="s">
        <v>358</v>
      </c>
      <c r="Z45" s="200"/>
      <c r="AA45" s="200"/>
      <c r="AB45" s="200"/>
      <c r="AC45" s="200"/>
      <c r="AD45" s="200"/>
      <c r="AE45" s="200"/>
    </row>
    <row r="46" spans="1:31" s="204" customFormat="1" ht="36" customHeight="1" x14ac:dyDescent="0.3">
      <c r="A46" s="245">
        <v>4.2</v>
      </c>
      <c r="B46" s="245"/>
      <c r="C46" s="246"/>
      <c r="D46" s="246"/>
      <c r="E46" s="245"/>
      <c r="F46" s="245"/>
      <c r="G46" s="245" t="s">
        <v>124</v>
      </c>
      <c r="H46" s="245"/>
      <c r="I46" s="245"/>
      <c r="J46" s="247" t="s">
        <v>18</v>
      </c>
      <c r="K46" s="247"/>
      <c r="L46" s="247"/>
      <c r="M46" s="248"/>
      <c r="N46" s="248"/>
      <c r="O46" s="247"/>
      <c r="P46" s="247"/>
      <c r="Q46" s="248"/>
      <c r="R46" s="248"/>
      <c r="S46" s="247"/>
      <c r="T46" s="247"/>
      <c r="U46" s="247"/>
      <c r="V46" s="249"/>
      <c r="W46" s="249"/>
      <c r="X46" s="250"/>
      <c r="Y46" s="250"/>
      <c r="Z46" s="200"/>
      <c r="AA46" s="200"/>
      <c r="AB46" s="200"/>
      <c r="AC46" s="200"/>
      <c r="AD46" s="200"/>
      <c r="AE46" s="200"/>
    </row>
    <row r="47" spans="1:31" s="204" customFormat="1" ht="36" customHeight="1" x14ac:dyDescent="0.3">
      <c r="A47" s="200" t="s">
        <v>147</v>
      </c>
      <c r="B47" s="200" t="s">
        <v>171</v>
      </c>
      <c r="C47" s="209" t="s">
        <v>132</v>
      </c>
      <c r="D47" s="201" t="s">
        <v>81</v>
      </c>
      <c r="F47" s="892" t="s">
        <v>110</v>
      </c>
      <c r="G47" s="893"/>
      <c r="H47" s="893"/>
      <c r="I47" s="894"/>
      <c r="J47" s="213" t="s">
        <v>19</v>
      </c>
      <c r="K47" s="922">
        <v>24</v>
      </c>
      <c r="L47" s="922">
        <v>40</v>
      </c>
      <c r="M47" s="891">
        <v>0</v>
      </c>
      <c r="N47" s="891">
        <v>0</v>
      </c>
      <c r="O47" s="932">
        <v>0</v>
      </c>
      <c r="P47" s="932">
        <v>0</v>
      </c>
      <c r="Q47" s="891">
        <v>0</v>
      </c>
      <c r="R47" s="891">
        <v>0</v>
      </c>
      <c r="S47" s="932">
        <v>0</v>
      </c>
      <c r="T47" s="891">
        <f>K47*$C$12+M47+((O47*$C$12+Q47)*S47)</f>
        <v>2400</v>
      </c>
      <c r="U47" s="891">
        <f>L47*$C$12+N47+((P47*$C$12+R47)*S47)</f>
        <v>4000</v>
      </c>
      <c r="V47" s="934">
        <f>K47+(O47*S47)</f>
        <v>24</v>
      </c>
      <c r="W47" s="934">
        <f>L47+(P47*S47)</f>
        <v>40</v>
      </c>
      <c r="X47" s="935" t="s">
        <v>607</v>
      </c>
      <c r="Y47" s="888" t="s">
        <v>523</v>
      </c>
    </row>
    <row r="48" spans="1:31" s="204" customFormat="1" ht="57.6" x14ac:dyDescent="0.3">
      <c r="A48" s="200" t="s">
        <v>148</v>
      </c>
      <c r="B48" s="200" t="s">
        <v>171</v>
      </c>
      <c r="C48" s="209" t="s">
        <v>132</v>
      </c>
      <c r="D48" s="201" t="s">
        <v>81</v>
      </c>
      <c r="F48" s="904" t="s">
        <v>111</v>
      </c>
      <c r="G48" s="905"/>
      <c r="H48" s="905"/>
      <c r="I48" s="906"/>
      <c r="J48" s="213" t="s">
        <v>116</v>
      </c>
      <c r="K48" s="922"/>
      <c r="L48" s="922"/>
      <c r="M48" s="891"/>
      <c r="N48" s="891"/>
      <c r="O48" s="932"/>
      <c r="P48" s="932"/>
      <c r="Q48" s="891"/>
      <c r="R48" s="891"/>
      <c r="S48" s="932"/>
      <c r="T48" s="891"/>
      <c r="U48" s="891"/>
      <c r="V48" s="934"/>
      <c r="W48" s="934"/>
      <c r="X48" s="936"/>
      <c r="Y48" s="889"/>
    </row>
    <row r="49" spans="1:25" s="204" customFormat="1" ht="57.6" x14ac:dyDescent="0.3">
      <c r="A49" s="251" t="s">
        <v>149</v>
      </c>
      <c r="B49" s="251" t="s">
        <v>171</v>
      </c>
      <c r="C49" s="251"/>
      <c r="D49" s="262" t="s">
        <v>83</v>
      </c>
      <c r="E49" s="204" t="s">
        <v>91</v>
      </c>
      <c r="F49" s="885" t="s">
        <v>238</v>
      </c>
      <c r="G49" s="886"/>
      <c r="H49" s="886"/>
      <c r="I49" s="887"/>
      <c r="J49" s="213" t="s">
        <v>20</v>
      </c>
      <c r="K49" s="213">
        <v>0</v>
      </c>
      <c r="L49" s="213">
        <v>0</v>
      </c>
      <c r="M49" s="206">
        <v>0</v>
      </c>
      <c r="N49" s="206">
        <v>0</v>
      </c>
      <c r="O49" s="204">
        <v>0</v>
      </c>
      <c r="P49" s="204">
        <v>24</v>
      </c>
      <c r="Q49" s="206">
        <v>0</v>
      </c>
      <c r="R49" s="206">
        <v>0</v>
      </c>
      <c r="S49" s="204">
        <v>5</v>
      </c>
      <c r="T49" s="240">
        <f>K49*$C$12+M49+((O49*$C$12+Q49)*S49)</f>
        <v>0</v>
      </c>
      <c r="U49" s="240">
        <f>L49*$C$12+N49+((P49*$C$12+R49)*S49)</f>
        <v>12000</v>
      </c>
      <c r="V49" s="241">
        <f>K49+(O49*S49)</f>
        <v>0</v>
      </c>
      <c r="W49" s="241">
        <f>L49+(P49*S49)</f>
        <v>120</v>
      </c>
      <c r="X49" s="207" t="s">
        <v>610</v>
      </c>
      <c r="Y49" s="266" t="s">
        <v>523</v>
      </c>
    </row>
    <row r="50" spans="1:25" s="204" customFormat="1" ht="36" customHeight="1" x14ac:dyDescent="0.3">
      <c r="A50" s="252">
        <v>4.3</v>
      </c>
      <c r="B50" s="252"/>
      <c r="C50" s="252"/>
      <c r="D50" s="252"/>
      <c r="E50" s="245"/>
      <c r="F50" s="245"/>
      <c r="G50" s="252" t="s">
        <v>112</v>
      </c>
      <c r="H50" s="246"/>
      <c r="I50" s="246"/>
      <c r="J50" s="247" t="s">
        <v>21</v>
      </c>
      <c r="K50" s="247"/>
      <c r="L50" s="247"/>
      <c r="M50" s="248"/>
      <c r="N50" s="248"/>
      <c r="O50" s="247"/>
      <c r="P50" s="247"/>
      <c r="Q50" s="248"/>
      <c r="R50" s="248"/>
      <c r="S50" s="247"/>
      <c r="T50" s="247"/>
      <c r="U50" s="247"/>
      <c r="V50" s="249"/>
      <c r="W50" s="249"/>
      <c r="X50" s="250"/>
      <c r="Y50" s="250"/>
    </row>
    <row r="51" spans="1:25" s="204" customFormat="1" ht="93.9" customHeight="1" x14ac:dyDescent="0.3">
      <c r="A51" s="200" t="s">
        <v>151</v>
      </c>
      <c r="B51" s="200" t="s">
        <v>171</v>
      </c>
      <c r="C51" s="200" t="s">
        <v>79</v>
      </c>
      <c r="D51" s="201" t="s">
        <v>81</v>
      </c>
      <c r="F51" s="838" t="s">
        <v>113</v>
      </c>
      <c r="G51" s="875"/>
      <c r="H51" s="875"/>
      <c r="I51" s="839"/>
      <c r="J51" s="213" t="s">
        <v>115</v>
      </c>
      <c r="K51" s="213">
        <v>0</v>
      </c>
      <c r="L51" s="213">
        <v>0</v>
      </c>
      <c r="M51" s="206">
        <v>0</v>
      </c>
      <c r="N51" s="206">
        <v>0</v>
      </c>
      <c r="O51" s="213">
        <v>0</v>
      </c>
      <c r="P51" s="213">
        <v>0</v>
      </c>
      <c r="Q51" s="206">
        <v>0</v>
      </c>
      <c r="R51" s="206">
        <v>0</v>
      </c>
      <c r="S51" s="213">
        <v>0</v>
      </c>
      <c r="T51" s="240">
        <f>K51*$C$12+M51+(((O51*$C$12)+Q51)*S51)</f>
        <v>0</v>
      </c>
      <c r="U51" s="240">
        <f t="shared" ref="U51:U56" si="3">L51*$C$12+N51+((P51*$C$12+R51)*S51)</f>
        <v>0</v>
      </c>
      <c r="V51" s="241">
        <f t="shared" ref="V51:V56" si="4">K51+(O51*S51)</f>
        <v>0</v>
      </c>
      <c r="W51" s="241">
        <f t="shared" ref="W51:W56" si="5">L51+(P51*S51)</f>
        <v>0</v>
      </c>
      <c r="X51" s="207" t="s">
        <v>591</v>
      </c>
    </row>
    <row r="52" spans="1:25" s="406" customFormat="1" ht="201" customHeight="1" x14ac:dyDescent="0.3">
      <c r="A52" s="337" t="s">
        <v>152</v>
      </c>
      <c r="B52" s="337" t="s">
        <v>171</v>
      </c>
      <c r="C52" s="337" t="s">
        <v>126</v>
      </c>
      <c r="D52" s="210" t="s">
        <v>176</v>
      </c>
      <c r="F52" s="838" t="s">
        <v>138</v>
      </c>
      <c r="G52" s="875"/>
      <c r="H52" s="875"/>
      <c r="I52" s="839"/>
      <c r="J52" s="408" t="s">
        <v>130</v>
      </c>
      <c r="K52" s="410">
        <f>C2/16*8*2</f>
        <v>12</v>
      </c>
      <c r="L52" s="410">
        <f>K52</f>
        <v>12</v>
      </c>
      <c r="M52" s="407">
        <f>C14+C7*C13</f>
        <v>537.11760000000004</v>
      </c>
      <c r="N52" s="407">
        <f>C14+C7*C13</f>
        <v>537.11760000000004</v>
      </c>
      <c r="O52" s="346">
        <v>24</v>
      </c>
      <c r="P52" s="346">
        <v>40</v>
      </c>
      <c r="Q52" s="402">
        <v>0</v>
      </c>
      <c r="R52" s="402">
        <v>0</v>
      </c>
      <c r="S52" s="408">
        <v>5</v>
      </c>
      <c r="T52" s="407">
        <f>K52*$C$12+M52+(((O52*$C$12)+Q52)*S52)</f>
        <v>13737.1176</v>
      </c>
      <c r="U52" s="407">
        <f t="shared" si="3"/>
        <v>21737.117600000001</v>
      </c>
      <c r="V52" s="409">
        <f>K52+(O52*S52)</f>
        <v>132</v>
      </c>
      <c r="W52" s="409">
        <f t="shared" si="5"/>
        <v>212</v>
      </c>
      <c r="X52" s="345" t="s">
        <v>611</v>
      </c>
      <c r="Y52" s="361" t="s">
        <v>356</v>
      </c>
    </row>
    <row r="53" spans="1:25" s="204" customFormat="1" ht="56.25" customHeight="1" x14ac:dyDescent="0.3">
      <c r="A53" s="200" t="s">
        <v>366</v>
      </c>
      <c r="B53" s="200"/>
      <c r="C53" s="200"/>
      <c r="D53" s="212" t="s">
        <v>82</v>
      </c>
      <c r="F53" s="879" t="s">
        <v>202</v>
      </c>
      <c r="G53" s="880"/>
      <c r="H53" s="880"/>
      <c r="I53" s="881"/>
      <c r="J53" s="213" t="s">
        <v>128</v>
      </c>
      <c r="K53" s="213">
        <v>0</v>
      </c>
      <c r="L53" s="213">
        <v>0</v>
      </c>
      <c r="M53" s="240">
        <v>0</v>
      </c>
      <c r="N53" s="240">
        <v>0</v>
      </c>
      <c r="O53" s="213">
        <v>0</v>
      </c>
      <c r="P53" s="213">
        <f>8*2*C11</f>
        <v>16</v>
      </c>
      <c r="Q53" s="289">
        <v>0</v>
      </c>
      <c r="R53" s="402">
        <f>5*C13*C11</f>
        <v>283.82333333333332</v>
      </c>
      <c r="S53" s="213">
        <v>5</v>
      </c>
      <c r="T53" s="267">
        <f>K53*$C$12+M53+((O53*$C$12+Q53)*S53)</f>
        <v>0</v>
      </c>
      <c r="U53" s="267">
        <f>L53*$C$12+N53+((P53*$C$12+R53)*S53)</f>
        <v>9419.1166666666668</v>
      </c>
      <c r="V53" s="268">
        <f t="shared" si="4"/>
        <v>0</v>
      </c>
      <c r="W53" s="268">
        <f t="shared" si="5"/>
        <v>80</v>
      </c>
      <c r="X53" s="229" t="s">
        <v>367</v>
      </c>
      <c r="Y53" s="208" t="s">
        <v>523</v>
      </c>
    </row>
    <row r="54" spans="1:25" s="204" customFormat="1" ht="102.9" customHeight="1" x14ac:dyDescent="0.3">
      <c r="A54" s="200" t="s">
        <v>153</v>
      </c>
      <c r="B54" s="200" t="s">
        <v>171</v>
      </c>
      <c r="C54" s="200" t="s">
        <v>140</v>
      </c>
      <c r="D54" s="210" t="s">
        <v>141</v>
      </c>
      <c r="F54" s="821" t="s">
        <v>118</v>
      </c>
      <c r="G54" s="890"/>
      <c r="H54" s="890"/>
      <c r="I54" s="822"/>
      <c r="J54" s="213" t="s">
        <v>173</v>
      </c>
      <c r="K54" s="448">
        <f>C9/5*8/10*5</f>
        <v>2.4</v>
      </c>
      <c r="L54" s="448">
        <f>C10/5*8/10*5</f>
        <v>7.1999999999999993</v>
      </c>
      <c r="M54" s="400">
        <f>C9*C13/10*5</f>
        <v>85.146999999999991</v>
      </c>
      <c r="N54" s="400">
        <f>C10*C13/10*5</f>
        <v>255.44099999999997</v>
      </c>
      <c r="O54" s="253">
        <v>0</v>
      </c>
      <c r="P54" s="241">
        <v>0</v>
      </c>
      <c r="Q54" s="289">
        <v>0</v>
      </c>
      <c r="R54" s="289">
        <v>0</v>
      </c>
      <c r="S54" s="254">
        <v>0</v>
      </c>
      <c r="T54" s="240">
        <f>(K54*$C$12+M54+((O54*$C$12+Q54)*S54))</f>
        <v>325.14699999999999</v>
      </c>
      <c r="U54" s="240">
        <f>(L54*$C$12+N54+((P54*$C$12+R54)*S54))</f>
        <v>975.4409999999998</v>
      </c>
      <c r="V54" s="241">
        <f t="shared" si="4"/>
        <v>2.4</v>
      </c>
      <c r="W54" s="241">
        <f t="shared" si="5"/>
        <v>7.1999999999999993</v>
      </c>
      <c r="X54" s="207" t="s">
        <v>590</v>
      </c>
      <c r="Y54" s="208" t="s">
        <v>523</v>
      </c>
    </row>
    <row r="55" spans="1:25" s="204" customFormat="1" ht="36" customHeight="1" x14ac:dyDescent="0.3">
      <c r="A55" s="200" t="s">
        <v>150</v>
      </c>
      <c r="B55" s="200" t="s">
        <v>171</v>
      </c>
      <c r="C55" s="209" t="s">
        <v>174</v>
      </c>
      <c r="D55" s="201" t="s">
        <v>81</v>
      </c>
      <c r="F55" s="838" t="s">
        <v>175</v>
      </c>
      <c r="G55" s="875"/>
      <c r="H55" s="875"/>
      <c r="I55" s="839"/>
      <c r="J55" s="213" t="s">
        <v>22</v>
      </c>
      <c r="K55" s="207">
        <v>0</v>
      </c>
      <c r="L55" s="207">
        <v>0</v>
      </c>
      <c r="M55" s="207">
        <v>0</v>
      </c>
      <c r="N55" s="207">
        <v>0</v>
      </c>
      <c r="O55" s="207">
        <v>0</v>
      </c>
      <c r="P55" s="207">
        <v>0</v>
      </c>
      <c r="Q55" s="207">
        <v>0</v>
      </c>
      <c r="R55" s="207">
        <v>0</v>
      </c>
      <c r="S55" s="207">
        <v>0</v>
      </c>
      <c r="T55" s="240">
        <f>K55*$C$12+M55+((O55*$C$12+Q55)*S55)</f>
        <v>0</v>
      </c>
      <c r="U55" s="240">
        <f t="shared" si="3"/>
        <v>0</v>
      </c>
      <c r="V55" s="241">
        <f t="shared" si="4"/>
        <v>0</v>
      </c>
      <c r="W55" s="241">
        <f t="shared" si="5"/>
        <v>0</v>
      </c>
      <c r="X55" s="207" t="s">
        <v>347</v>
      </c>
      <c r="Y55" s="266" t="s">
        <v>523</v>
      </c>
    </row>
    <row r="56" spans="1:25" s="204" customFormat="1" ht="36" customHeight="1" x14ac:dyDescent="0.3">
      <c r="A56" s="200" t="s">
        <v>154</v>
      </c>
      <c r="B56" s="200" t="s">
        <v>2</v>
      </c>
      <c r="C56" s="200"/>
      <c r="D56" s="260" t="s">
        <v>83</v>
      </c>
      <c r="E56" s="204" t="s">
        <v>91</v>
      </c>
      <c r="F56" s="876" t="s">
        <v>254</v>
      </c>
      <c r="G56" s="877"/>
      <c r="H56" s="877"/>
      <c r="I56" s="878"/>
      <c r="J56" s="215" t="s">
        <v>253</v>
      </c>
      <c r="K56" s="207">
        <v>0</v>
      </c>
      <c r="L56" s="207">
        <v>0</v>
      </c>
      <c r="M56" s="207">
        <v>0</v>
      </c>
      <c r="N56" s="207">
        <v>0</v>
      </c>
      <c r="O56" s="207">
        <v>0</v>
      </c>
      <c r="P56" s="207">
        <v>0</v>
      </c>
      <c r="Q56" s="207">
        <v>0</v>
      </c>
      <c r="R56" s="207">
        <v>0</v>
      </c>
      <c r="S56" s="207">
        <v>0</v>
      </c>
      <c r="T56" s="240">
        <f>K56*$C$12+M56+((O56*$C$12+Q56)*S56)</f>
        <v>0</v>
      </c>
      <c r="U56" s="240">
        <f t="shared" si="3"/>
        <v>0</v>
      </c>
      <c r="V56" s="241">
        <f t="shared" si="4"/>
        <v>0</v>
      </c>
      <c r="W56" s="241">
        <f t="shared" si="5"/>
        <v>0</v>
      </c>
      <c r="X56" s="207" t="s">
        <v>348</v>
      </c>
      <c r="Y56" s="266" t="s">
        <v>523</v>
      </c>
    </row>
    <row r="57" spans="1:25" s="204" customFormat="1" ht="36" customHeight="1" x14ac:dyDescent="0.3">
      <c r="A57" s="245">
        <v>4.4000000000000004</v>
      </c>
      <c r="B57" s="245"/>
      <c r="C57" s="245"/>
      <c r="D57" s="245"/>
      <c r="E57" s="245"/>
      <c r="F57" s="245"/>
      <c r="G57" s="245" t="s">
        <v>114</v>
      </c>
      <c r="H57" s="245"/>
      <c r="I57" s="245"/>
      <c r="J57" s="247" t="s">
        <v>23</v>
      </c>
      <c r="K57" s="247"/>
      <c r="L57" s="247"/>
      <c r="M57" s="248"/>
      <c r="N57" s="248"/>
      <c r="O57" s="247"/>
      <c r="P57" s="247"/>
      <c r="Q57" s="248"/>
      <c r="R57" s="248"/>
      <c r="S57" s="247"/>
      <c r="T57" s="247"/>
      <c r="U57" s="247"/>
      <c r="V57" s="249"/>
      <c r="W57" s="249"/>
      <c r="X57" s="250"/>
      <c r="Y57" s="250"/>
    </row>
    <row r="58" spans="1:25" s="204" customFormat="1" ht="36" customHeight="1" x14ac:dyDescent="0.3">
      <c r="A58" s="200" t="s">
        <v>155</v>
      </c>
      <c r="B58" s="200" t="s">
        <v>171</v>
      </c>
      <c r="C58" s="200" t="s">
        <v>79</v>
      </c>
      <c r="D58" s="201" t="s">
        <v>81</v>
      </c>
      <c r="F58" s="838" t="s">
        <v>131</v>
      </c>
      <c r="G58" s="875"/>
      <c r="H58" s="875"/>
      <c r="I58" s="839"/>
      <c r="J58" s="213" t="s">
        <v>23</v>
      </c>
      <c r="K58" s="213">
        <v>0</v>
      </c>
      <c r="L58" s="213">
        <v>0</v>
      </c>
      <c r="M58" s="213">
        <v>0</v>
      </c>
      <c r="N58" s="243">
        <v>0</v>
      </c>
      <c r="O58" s="243">
        <v>0</v>
      </c>
      <c r="P58" s="243">
        <v>0</v>
      </c>
      <c r="Q58" s="213">
        <v>0</v>
      </c>
      <c r="R58" s="243">
        <v>0</v>
      </c>
      <c r="S58" s="243">
        <v>0</v>
      </c>
      <c r="T58" s="240">
        <f t="shared" ref="T58:T67" si="6">K58*$C$12+M58+((O58*$C$12+Q58)*S58)</f>
        <v>0</v>
      </c>
      <c r="U58" s="240">
        <f t="shared" ref="U58:U67" si="7">L58*$C$12+N58+((P58*$C$12+R58)*S58)</f>
        <v>0</v>
      </c>
      <c r="V58" s="241">
        <f t="shared" ref="V58:V67" si="8">K58+(O58*S58)</f>
        <v>0</v>
      </c>
      <c r="W58" s="241">
        <f t="shared" ref="W58:W67" si="9">L58+(P58*S58)</f>
        <v>0</v>
      </c>
      <c r="X58" s="207" t="s">
        <v>359</v>
      </c>
      <c r="Y58" s="266" t="s">
        <v>523</v>
      </c>
    </row>
    <row r="59" spans="1:25" s="406" customFormat="1" ht="57.6" x14ac:dyDescent="0.3">
      <c r="A59" s="337" t="s">
        <v>156</v>
      </c>
      <c r="B59" s="337" t="s">
        <v>171</v>
      </c>
      <c r="C59" s="361" t="s">
        <v>132</v>
      </c>
      <c r="D59" s="203" t="s">
        <v>81</v>
      </c>
      <c r="F59" s="838" t="s">
        <v>262</v>
      </c>
      <c r="G59" s="875"/>
      <c r="H59" s="875"/>
      <c r="I59" s="839"/>
      <c r="J59" s="408" t="s">
        <v>24</v>
      </c>
      <c r="K59" s="408">
        <v>16</v>
      </c>
      <c r="L59" s="408">
        <v>40</v>
      </c>
      <c r="M59" s="404">
        <v>0</v>
      </c>
      <c r="N59" s="404">
        <v>0</v>
      </c>
      <c r="O59" s="408">
        <v>0</v>
      </c>
      <c r="P59" s="410">
        <v>0</v>
      </c>
      <c r="Q59" s="404">
        <v>0</v>
      </c>
      <c r="R59" s="404">
        <v>0</v>
      </c>
      <c r="S59" s="408">
        <v>0</v>
      </c>
      <c r="T59" s="407">
        <f t="shared" si="6"/>
        <v>1600</v>
      </c>
      <c r="U59" s="407">
        <f t="shared" si="7"/>
        <v>4000</v>
      </c>
      <c r="V59" s="409">
        <f t="shared" si="8"/>
        <v>16</v>
      </c>
      <c r="W59" s="409">
        <f t="shared" si="9"/>
        <v>40</v>
      </c>
      <c r="X59" s="345" t="s">
        <v>608</v>
      </c>
      <c r="Y59" s="405" t="s">
        <v>523</v>
      </c>
    </row>
    <row r="60" spans="1:25" s="204" customFormat="1" ht="36" customHeight="1" x14ac:dyDescent="0.3">
      <c r="A60" s="200" t="s">
        <v>157</v>
      </c>
      <c r="B60" s="200" t="s">
        <v>2</v>
      </c>
      <c r="C60" s="200"/>
      <c r="D60" s="260" t="s">
        <v>83</v>
      </c>
      <c r="E60" s="204" t="s">
        <v>91</v>
      </c>
      <c r="F60" s="882" t="s">
        <v>117</v>
      </c>
      <c r="G60" s="883"/>
      <c r="H60" s="883"/>
      <c r="I60" s="884"/>
      <c r="J60" s="213" t="s">
        <v>24</v>
      </c>
      <c r="K60" s="213">
        <v>0</v>
      </c>
      <c r="L60" s="213">
        <v>0</v>
      </c>
      <c r="M60" s="213">
        <v>0</v>
      </c>
      <c r="N60" s="243">
        <v>0</v>
      </c>
      <c r="O60" s="243">
        <v>0</v>
      </c>
      <c r="P60" s="243">
        <v>0</v>
      </c>
      <c r="Q60" s="213">
        <v>0</v>
      </c>
      <c r="R60" s="243">
        <v>0</v>
      </c>
      <c r="S60" s="243">
        <v>0</v>
      </c>
      <c r="T60" s="240">
        <f t="shared" si="6"/>
        <v>0</v>
      </c>
      <c r="U60" s="240">
        <f t="shared" si="7"/>
        <v>0</v>
      </c>
      <c r="V60" s="241">
        <f t="shared" si="8"/>
        <v>0</v>
      </c>
      <c r="W60" s="241">
        <f t="shared" si="9"/>
        <v>0</v>
      </c>
      <c r="X60" s="207" t="s">
        <v>329</v>
      </c>
      <c r="Y60" s="266" t="s">
        <v>523</v>
      </c>
    </row>
    <row r="61" spans="1:25" s="204" customFormat="1" ht="39.6" customHeight="1" x14ac:dyDescent="0.3">
      <c r="A61" s="200" t="s">
        <v>158</v>
      </c>
      <c r="B61" s="200" t="s">
        <v>171</v>
      </c>
      <c r="C61" s="255"/>
      <c r="D61" s="210" t="s">
        <v>141</v>
      </c>
      <c r="F61" s="838" t="s">
        <v>119</v>
      </c>
      <c r="G61" s="875"/>
      <c r="H61" s="875"/>
      <c r="I61" s="839"/>
      <c r="J61" s="215" t="s">
        <v>133</v>
      </c>
      <c r="K61" s="241">
        <f>ROUNDUP(C5/40*8*2, -1)/10*5</f>
        <v>35</v>
      </c>
      <c r="L61" s="213">
        <f>C6/30*2*8/10*5</f>
        <v>9.6</v>
      </c>
      <c r="M61" s="240">
        <f>1000/10*5</f>
        <v>500</v>
      </c>
      <c r="N61" s="240">
        <f>1500/10*5</f>
        <v>750</v>
      </c>
      <c r="O61" s="213">
        <v>0</v>
      </c>
      <c r="P61" s="213">
        <v>0</v>
      </c>
      <c r="Q61" s="240">
        <v>0</v>
      </c>
      <c r="R61" s="240">
        <v>0</v>
      </c>
      <c r="S61" s="213">
        <v>0</v>
      </c>
      <c r="T61" s="240">
        <f>K61*$C$12+M61+((O61*$C$12+Q61)*S61)</f>
        <v>4000</v>
      </c>
      <c r="U61" s="240">
        <f t="shared" si="7"/>
        <v>1710</v>
      </c>
      <c r="V61" s="241">
        <f t="shared" si="8"/>
        <v>35</v>
      </c>
      <c r="W61" s="241">
        <f t="shared" si="9"/>
        <v>9.6</v>
      </c>
      <c r="X61" s="926" t="s">
        <v>593</v>
      </c>
      <c r="Y61" s="208" t="s">
        <v>523</v>
      </c>
    </row>
    <row r="62" spans="1:25" s="204" customFormat="1" ht="36" customHeight="1" x14ac:dyDescent="0.3">
      <c r="A62" s="200"/>
      <c r="B62" s="200"/>
      <c r="C62" s="255" t="s">
        <v>126</v>
      </c>
      <c r="D62" s="255"/>
      <c r="F62" s="201"/>
      <c r="G62" s="263" t="s">
        <v>27</v>
      </c>
      <c r="H62" s="265"/>
      <c r="I62" s="264"/>
      <c r="J62" s="213" t="s">
        <v>28</v>
      </c>
      <c r="K62" s="213"/>
      <c r="L62" s="213"/>
      <c r="M62" s="240"/>
      <c r="N62" s="240"/>
      <c r="O62" s="213">
        <v>0</v>
      </c>
      <c r="P62" s="213">
        <v>0</v>
      </c>
      <c r="Q62" s="240"/>
      <c r="R62" s="240"/>
      <c r="S62" s="213">
        <v>0</v>
      </c>
      <c r="T62" s="240">
        <f t="shared" si="6"/>
        <v>0</v>
      </c>
      <c r="U62" s="240">
        <f t="shared" si="7"/>
        <v>0</v>
      </c>
      <c r="V62" s="241">
        <f t="shared" si="8"/>
        <v>0</v>
      </c>
      <c r="W62" s="241">
        <f t="shared" si="9"/>
        <v>0</v>
      </c>
      <c r="X62" s="927"/>
      <c r="Y62" s="200"/>
    </row>
    <row r="63" spans="1:25" s="204" customFormat="1" ht="36" customHeight="1" x14ac:dyDescent="0.3">
      <c r="A63" s="200"/>
      <c r="B63" s="200"/>
      <c r="C63" s="255" t="s">
        <v>93</v>
      </c>
      <c r="D63" s="255"/>
      <c r="F63" s="201"/>
      <c r="G63" s="821" t="s">
        <v>29</v>
      </c>
      <c r="H63" s="890"/>
      <c r="I63" s="822"/>
      <c r="J63" s="213" t="s">
        <v>30</v>
      </c>
      <c r="K63" s="213"/>
      <c r="L63" s="213"/>
      <c r="M63" s="240"/>
      <c r="N63" s="240"/>
      <c r="O63" s="213">
        <v>0</v>
      </c>
      <c r="P63" s="213">
        <v>0</v>
      </c>
      <c r="Q63" s="240"/>
      <c r="R63" s="240"/>
      <c r="S63" s="213">
        <v>0</v>
      </c>
      <c r="T63" s="240">
        <f t="shared" si="6"/>
        <v>0</v>
      </c>
      <c r="U63" s="240">
        <f t="shared" si="7"/>
        <v>0</v>
      </c>
      <c r="V63" s="241">
        <f t="shared" si="8"/>
        <v>0</v>
      </c>
      <c r="W63" s="241">
        <f t="shared" si="9"/>
        <v>0</v>
      </c>
      <c r="X63" s="927"/>
      <c r="Y63" s="200"/>
    </row>
    <row r="64" spans="1:25" s="204" customFormat="1" ht="36" customHeight="1" x14ac:dyDescent="0.3">
      <c r="A64" s="200"/>
      <c r="B64" s="200"/>
      <c r="C64" s="255" t="s">
        <v>140</v>
      </c>
      <c r="D64" s="255"/>
      <c r="F64" s="201"/>
      <c r="G64" s="821" t="s">
        <v>31</v>
      </c>
      <c r="H64" s="890"/>
      <c r="I64" s="822"/>
      <c r="J64" s="213" t="s">
        <v>32</v>
      </c>
      <c r="K64" s="213"/>
      <c r="L64" s="213"/>
      <c r="M64" s="240"/>
      <c r="N64" s="240"/>
      <c r="O64" s="213">
        <v>0</v>
      </c>
      <c r="P64" s="213">
        <v>0</v>
      </c>
      <c r="Q64" s="240"/>
      <c r="R64" s="240"/>
      <c r="S64" s="213">
        <v>0</v>
      </c>
      <c r="T64" s="240">
        <f t="shared" si="6"/>
        <v>0</v>
      </c>
      <c r="U64" s="240">
        <f t="shared" si="7"/>
        <v>0</v>
      </c>
      <c r="V64" s="241">
        <f t="shared" si="8"/>
        <v>0</v>
      </c>
      <c r="W64" s="241">
        <f t="shared" si="9"/>
        <v>0</v>
      </c>
      <c r="X64" s="928"/>
      <c r="Y64" s="200"/>
    </row>
    <row r="65" spans="1:30" s="204" customFormat="1" ht="47.25" customHeight="1" x14ac:dyDescent="0.3">
      <c r="A65" s="200" t="s">
        <v>159</v>
      </c>
      <c r="B65" s="200" t="s">
        <v>171</v>
      </c>
      <c r="C65" s="255" t="s">
        <v>178</v>
      </c>
      <c r="D65" s="255"/>
      <c r="F65" s="201"/>
      <c r="G65" s="838" t="s">
        <v>263</v>
      </c>
      <c r="H65" s="875"/>
      <c r="I65" s="839"/>
      <c r="J65" s="215" t="s">
        <v>133</v>
      </c>
      <c r="K65" s="213">
        <v>0</v>
      </c>
      <c r="L65" s="213">
        <v>0</v>
      </c>
      <c r="M65" s="240">
        <f>C5*C8*C13</f>
        <v>877.58174666666673</v>
      </c>
      <c r="N65" s="240">
        <f>C6*C8*C13</f>
        <v>204.3528</v>
      </c>
      <c r="O65" s="213">
        <v>0</v>
      </c>
      <c r="P65" s="213">
        <v>0</v>
      </c>
      <c r="Q65" s="289">
        <v>0</v>
      </c>
      <c r="R65" s="289">
        <v>0</v>
      </c>
      <c r="S65" s="213">
        <v>0</v>
      </c>
      <c r="T65" s="240">
        <f t="shared" si="6"/>
        <v>877.58174666666673</v>
      </c>
      <c r="U65" s="240">
        <f t="shared" si="7"/>
        <v>204.3528</v>
      </c>
      <c r="V65" s="241">
        <f t="shared" si="8"/>
        <v>0</v>
      </c>
      <c r="W65" s="241">
        <f t="shared" si="9"/>
        <v>0</v>
      </c>
      <c r="X65" s="207" t="s">
        <v>360</v>
      </c>
      <c r="Y65" s="208" t="s">
        <v>523</v>
      </c>
    </row>
    <row r="66" spans="1:30" s="204" customFormat="1" ht="36" customHeight="1" x14ac:dyDescent="0.3">
      <c r="A66" s="200" t="s">
        <v>160</v>
      </c>
      <c r="B66" s="200" t="s">
        <v>171</v>
      </c>
      <c r="C66" s="209" t="s">
        <v>177</v>
      </c>
      <c r="D66" s="200"/>
      <c r="F66" s="201"/>
      <c r="G66" s="838" t="s">
        <v>121</v>
      </c>
      <c r="H66" s="875"/>
      <c r="I66" s="839"/>
      <c r="J66" s="215" t="s">
        <v>120</v>
      </c>
      <c r="K66" s="213">
        <v>0</v>
      </c>
      <c r="L66" s="213">
        <v>0</v>
      </c>
      <c r="M66" s="213">
        <v>0</v>
      </c>
      <c r="N66" s="243">
        <v>0</v>
      </c>
      <c r="O66" s="243">
        <v>0</v>
      </c>
      <c r="P66" s="243">
        <v>0</v>
      </c>
      <c r="Q66" s="213">
        <v>0</v>
      </c>
      <c r="R66" s="243">
        <v>0</v>
      </c>
      <c r="S66" s="243">
        <v>0</v>
      </c>
      <c r="T66" s="240">
        <f t="shared" si="6"/>
        <v>0</v>
      </c>
      <c r="U66" s="240">
        <f t="shared" si="7"/>
        <v>0</v>
      </c>
      <c r="V66" s="241">
        <f t="shared" si="8"/>
        <v>0</v>
      </c>
      <c r="W66" s="241">
        <f t="shared" si="9"/>
        <v>0</v>
      </c>
      <c r="X66" s="207" t="s">
        <v>350</v>
      </c>
      <c r="Y66" s="208" t="s">
        <v>523</v>
      </c>
    </row>
    <row r="67" spans="1:30" s="204" customFormat="1" ht="36" customHeight="1" x14ac:dyDescent="0.3">
      <c r="A67" s="200" t="s">
        <v>161</v>
      </c>
      <c r="B67" s="200" t="s">
        <v>2</v>
      </c>
      <c r="C67" s="200"/>
      <c r="D67" s="260" t="s">
        <v>83</v>
      </c>
      <c r="E67" s="204" t="s">
        <v>91</v>
      </c>
      <c r="F67" s="882" t="s">
        <v>135</v>
      </c>
      <c r="G67" s="883"/>
      <c r="H67" s="883"/>
      <c r="I67" s="884"/>
      <c r="J67" s="213"/>
      <c r="K67" s="213">
        <v>0</v>
      </c>
      <c r="L67" s="213">
        <v>0</v>
      </c>
      <c r="M67" s="213">
        <v>0</v>
      </c>
      <c r="N67" s="243">
        <v>0</v>
      </c>
      <c r="O67" s="243">
        <v>0</v>
      </c>
      <c r="P67" s="243">
        <v>0</v>
      </c>
      <c r="Q67" s="213">
        <v>0</v>
      </c>
      <c r="R67" s="243">
        <v>0</v>
      </c>
      <c r="S67" s="243">
        <v>0</v>
      </c>
      <c r="T67" s="240">
        <f t="shared" si="6"/>
        <v>0</v>
      </c>
      <c r="U67" s="240">
        <f t="shared" si="7"/>
        <v>0</v>
      </c>
      <c r="V67" s="241">
        <f t="shared" si="8"/>
        <v>0</v>
      </c>
      <c r="W67" s="241">
        <f t="shared" si="9"/>
        <v>0</v>
      </c>
      <c r="X67" s="207" t="s">
        <v>329</v>
      </c>
      <c r="Y67" s="266" t="s">
        <v>523</v>
      </c>
    </row>
    <row r="68" spans="1:30" s="204" customFormat="1" ht="36" customHeight="1" x14ac:dyDescent="0.3">
      <c r="A68" s="252">
        <v>4.5</v>
      </c>
      <c r="B68" s="252"/>
      <c r="C68" s="252"/>
      <c r="D68" s="252"/>
      <c r="E68" s="245"/>
      <c r="F68" s="245"/>
      <c r="G68" s="252" t="s">
        <v>125</v>
      </c>
      <c r="H68" s="246"/>
      <c r="I68" s="246"/>
      <c r="J68" s="247" t="s">
        <v>16</v>
      </c>
      <c r="K68" s="247"/>
      <c r="L68" s="247"/>
      <c r="M68" s="248"/>
      <c r="N68" s="248"/>
      <c r="O68" s="247"/>
      <c r="P68" s="247"/>
      <c r="Q68" s="248"/>
      <c r="R68" s="248"/>
      <c r="S68" s="247"/>
      <c r="T68" s="247"/>
      <c r="U68" s="247"/>
      <c r="V68" s="249"/>
      <c r="W68" s="249"/>
      <c r="X68" s="250"/>
      <c r="Y68" s="250"/>
    </row>
    <row r="69" spans="1:30" s="204" customFormat="1" ht="88.65" customHeight="1" x14ac:dyDescent="0.3">
      <c r="A69" s="200" t="s">
        <v>162</v>
      </c>
      <c r="B69" s="200" t="s">
        <v>62</v>
      </c>
      <c r="C69" s="200" t="s">
        <v>79</v>
      </c>
      <c r="D69" s="201" t="s">
        <v>81</v>
      </c>
      <c r="F69" s="838" t="s">
        <v>127</v>
      </c>
      <c r="G69" s="875"/>
      <c r="H69" s="875"/>
      <c r="I69" s="839"/>
      <c r="J69" s="213" t="s">
        <v>16</v>
      </c>
      <c r="K69" s="401">
        <v>16</v>
      </c>
      <c r="L69" s="401">
        <v>48</v>
      </c>
      <c r="M69" s="398">
        <v>0</v>
      </c>
      <c r="N69" s="398">
        <v>0</v>
      </c>
      <c r="O69" s="401">
        <v>0</v>
      </c>
      <c r="P69" s="401">
        <v>0</v>
      </c>
      <c r="Q69" s="398">
        <v>0</v>
      </c>
      <c r="R69" s="398">
        <v>0</v>
      </c>
      <c r="S69" s="401">
        <v>0</v>
      </c>
      <c r="T69" s="400">
        <f>K69*$C$12+M69+(((O69*$C$12)+Q69)*S69)</f>
        <v>1600</v>
      </c>
      <c r="U69" s="400">
        <f>L69*$C$12+N69+((P69*$C$12+R69)*S69)</f>
        <v>4800</v>
      </c>
      <c r="V69" s="399">
        <f>K69+(O69*S69)</f>
        <v>16</v>
      </c>
      <c r="W69" s="399">
        <f>L69+(P69*S69)</f>
        <v>48</v>
      </c>
      <c r="X69" s="345" t="s">
        <v>588</v>
      </c>
      <c r="Y69" s="397" t="s">
        <v>335</v>
      </c>
    </row>
    <row r="70" spans="1:30" s="406" customFormat="1" ht="49.65" customHeight="1" x14ac:dyDescent="0.3">
      <c r="A70" s="337" t="s">
        <v>163</v>
      </c>
      <c r="B70" s="337" t="s">
        <v>2</v>
      </c>
      <c r="C70" s="337"/>
      <c r="D70" s="211" t="s">
        <v>82</v>
      </c>
      <c r="F70" s="879" t="s">
        <v>129</v>
      </c>
      <c r="G70" s="880"/>
      <c r="H70" s="880"/>
      <c r="I70" s="881"/>
      <c r="J70" s="408" t="s">
        <v>128</v>
      </c>
      <c r="K70" s="408">
        <v>0</v>
      </c>
      <c r="L70" s="408">
        <v>0</v>
      </c>
      <c r="M70" s="407">
        <v>0</v>
      </c>
      <c r="N70" s="407">
        <v>0</v>
      </c>
      <c r="O70" s="408">
        <v>0</v>
      </c>
      <c r="P70" s="408">
        <f>8*C11</f>
        <v>8</v>
      </c>
      <c r="Q70" s="407">
        <v>0</v>
      </c>
      <c r="R70" s="407">
        <v>0</v>
      </c>
      <c r="S70" s="408">
        <v>5</v>
      </c>
      <c r="T70" s="267">
        <f>K70*$C$12+M70+((O70*$C$12+Q70)*S70)</f>
        <v>0</v>
      </c>
      <c r="U70" s="267">
        <f>L70*$C$12+N70+((P70*$C$12+R70)*S70)</f>
        <v>4000</v>
      </c>
      <c r="V70" s="268">
        <f>K70+(O70*S70)</f>
        <v>0</v>
      </c>
      <c r="W70" s="268">
        <f>L70+(P70*S70)</f>
        <v>40</v>
      </c>
      <c r="X70" s="345" t="s">
        <v>609</v>
      </c>
      <c r="Y70" s="361" t="s">
        <v>351</v>
      </c>
    </row>
    <row r="71" spans="1:30" s="204" customFormat="1" ht="36" customHeight="1" x14ac:dyDescent="0.3">
      <c r="A71" s="200" t="s">
        <v>164</v>
      </c>
      <c r="B71" s="200" t="s">
        <v>171</v>
      </c>
      <c r="C71" s="200"/>
      <c r="D71" s="211" t="s">
        <v>82</v>
      </c>
      <c r="F71" s="872" t="s">
        <v>179</v>
      </c>
      <c r="G71" s="873"/>
      <c r="H71" s="873"/>
      <c r="I71" s="874"/>
      <c r="J71" s="213" t="s">
        <v>4</v>
      </c>
      <c r="K71" s="213">
        <v>0</v>
      </c>
      <c r="L71" s="213">
        <v>0</v>
      </c>
      <c r="M71" s="240">
        <v>0</v>
      </c>
      <c r="N71" s="240">
        <v>0</v>
      </c>
      <c r="O71" s="213">
        <v>0</v>
      </c>
      <c r="P71" s="213">
        <v>0</v>
      </c>
      <c r="Q71" s="240">
        <v>0</v>
      </c>
      <c r="R71" s="240">
        <v>0</v>
      </c>
      <c r="S71" s="213">
        <v>0</v>
      </c>
      <c r="T71" s="267">
        <f>K71*$C$12+M71+((O71*$C$12+Q71)*S71)</f>
        <v>0</v>
      </c>
      <c r="U71" s="267">
        <f>L71*$C$12+N71+((P71*$C$12+R71)*S71)</f>
        <v>0</v>
      </c>
      <c r="V71" s="268">
        <f>K71+(O71*S71)</f>
        <v>0</v>
      </c>
      <c r="W71" s="268">
        <f>L71+(P71*S71)</f>
        <v>0</v>
      </c>
      <c r="X71" s="207" t="s">
        <v>352</v>
      </c>
      <c r="Y71" s="208" t="s">
        <v>523</v>
      </c>
      <c r="Z71" s="200"/>
      <c r="AA71" s="200"/>
      <c r="AB71" s="200"/>
      <c r="AC71" s="200"/>
      <c r="AD71" s="200"/>
    </row>
    <row r="72" spans="1:30" s="204" customFormat="1" ht="51" customHeight="1" x14ac:dyDescent="0.3">
      <c r="A72" s="200" t="s">
        <v>165</v>
      </c>
      <c r="B72" s="200" t="s">
        <v>171</v>
      </c>
      <c r="C72" s="200"/>
      <c r="D72" s="201" t="s">
        <v>81</v>
      </c>
      <c r="F72" s="838" t="s">
        <v>142</v>
      </c>
      <c r="G72" s="875"/>
      <c r="H72" s="875"/>
      <c r="I72" s="839"/>
      <c r="J72" s="213" t="s">
        <v>33</v>
      </c>
      <c r="K72" s="213">
        <v>0</v>
      </c>
      <c r="L72" s="213">
        <v>0</v>
      </c>
      <c r="M72" s="240">
        <v>0</v>
      </c>
      <c r="N72" s="240">
        <v>0</v>
      </c>
      <c r="O72" s="213">
        <v>0</v>
      </c>
      <c r="P72" s="213">
        <v>0</v>
      </c>
      <c r="Q72" s="240">
        <v>0</v>
      </c>
      <c r="R72" s="240">
        <v>0</v>
      </c>
      <c r="S72" s="213">
        <v>0</v>
      </c>
      <c r="T72" s="240">
        <f>K72*$C$12+M72+((O72*$C$12+Q72)*S72)</f>
        <v>0</v>
      </c>
      <c r="U72" s="240">
        <f>L72*$C$12+N72+((P72*$C$12+R72)*S72)</f>
        <v>0</v>
      </c>
      <c r="V72" s="241">
        <f>K72+(O72*S72)</f>
        <v>0</v>
      </c>
      <c r="W72" s="241">
        <f>L72+(P72*S72)</f>
        <v>0</v>
      </c>
      <c r="X72" s="207" t="s">
        <v>349</v>
      </c>
      <c r="Y72" s="266" t="s">
        <v>523</v>
      </c>
    </row>
    <row r="73" spans="1:30" s="204" customFormat="1" ht="36" customHeight="1" x14ac:dyDescent="0.3">
      <c r="A73" s="245">
        <v>4.5999999999999996</v>
      </c>
      <c r="B73" s="245"/>
      <c r="C73" s="245"/>
      <c r="D73" s="245"/>
      <c r="E73" s="245"/>
      <c r="F73" s="245"/>
      <c r="G73" s="245" t="s">
        <v>122</v>
      </c>
      <c r="H73" s="245"/>
      <c r="I73" s="245"/>
      <c r="J73" s="247" t="s">
        <v>25</v>
      </c>
      <c r="K73" s="247"/>
      <c r="L73" s="247"/>
      <c r="M73" s="248"/>
      <c r="N73" s="248"/>
      <c r="O73" s="247"/>
      <c r="P73" s="247"/>
      <c r="Q73" s="248"/>
      <c r="R73" s="248"/>
      <c r="S73" s="247"/>
      <c r="T73" s="247"/>
      <c r="U73" s="247"/>
      <c r="V73" s="249"/>
      <c r="W73" s="249"/>
      <c r="X73" s="250"/>
      <c r="Y73" s="250"/>
    </row>
    <row r="74" spans="1:30" s="204" customFormat="1" ht="36" customHeight="1" x14ac:dyDescent="0.3">
      <c r="A74" s="200" t="s">
        <v>166</v>
      </c>
      <c r="B74" s="200" t="s">
        <v>2</v>
      </c>
      <c r="C74" s="200"/>
      <c r="D74" s="260" t="s">
        <v>83</v>
      </c>
      <c r="E74" s="204" t="s">
        <v>91</v>
      </c>
      <c r="F74" s="876" t="s">
        <v>134</v>
      </c>
      <c r="G74" s="877"/>
      <c r="H74" s="877"/>
      <c r="I74" s="878"/>
      <c r="J74" s="213" t="s">
        <v>25</v>
      </c>
      <c r="K74" s="213">
        <v>0</v>
      </c>
      <c r="L74" s="213">
        <v>0</v>
      </c>
      <c r="M74" s="240">
        <v>0</v>
      </c>
      <c r="N74" s="240">
        <v>0</v>
      </c>
      <c r="O74" s="213">
        <v>0</v>
      </c>
      <c r="P74" s="213">
        <v>0</v>
      </c>
      <c r="Q74" s="240">
        <v>0</v>
      </c>
      <c r="R74" s="240">
        <v>0</v>
      </c>
      <c r="S74" s="213">
        <v>0</v>
      </c>
      <c r="T74" s="240">
        <f>K74*$C$12+M74+((O74*$C$12+Q74)*S74)</f>
        <v>0</v>
      </c>
      <c r="U74" s="240">
        <f>L74*$C$12+N74+((P74*$C$12+R74)*S74)</f>
        <v>0</v>
      </c>
      <c r="V74" s="241">
        <f>K74+(O74*S74)</f>
        <v>0</v>
      </c>
      <c r="W74" s="241">
        <f>L74+(P74*S74)</f>
        <v>0</v>
      </c>
      <c r="X74" s="207" t="s">
        <v>329</v>
      </c>
      <c r="Y74" s="266" t="s">
        <v>523</v>
      </c>
    </row>
    <row r="75" spans="1:30" s="204" customFormat="1" ht="56.25" customHeight="1" x14ac:dyDescent="0.3">
      <c r="A75" s="200" t="s">
        <v>167</v>
      </c>
      <c r="B75" s="200" t="s">
        <v>171</v>
      </c>
      <c r="C75" s="209" t="s">
        <v>137</v>
      </c>
      <c r="D75" s="261" t="s">
        <v>82</v>
      </c>
      <c r="F75" s="879" t="s">
        <v>139</v>
      </c>
      <c r="G75" s="880"/>
      <c r="H75" s="880"/>
      <c r="I75" s="881"/>
      <c r="J75" s="213" t="s">
        <v>25</v>
      </c>
      <c r="K75" s="213">
        <v>0</v>
      </c>
      <c r="L75" s="213">
        <v>0</v>
      </c>
      <c r="M75" s="240">
        <v>0</v>
      </c>
      <c r="N75" s="240">
        <v>0</v>
      </c>
      <c r="O75" s="213">
        <v>0</v>
      </c>
      <c r="P75" s="213">
        <f>(2*4+8)*C11</f>
        <v>16</v>
      </c>
      <c r="Q75" s="240">
        <v>0</v>
      </c>
      <c r="R75" s="400">
        <f>C11*C13</f>
        <v>56.764666666666663</v>
      </c>
      <c r="S75" s="213">
        <v>5</v>
      </c>
      <c r="T75" s="267">
        <f>K75*$C$12+M75+((O75*$C$12+Q75)*S75)</f>
        <v>0</v>
      </c>
      <c r="U75" s="267">
        <f>L75*$C$12+N75+((P75*$C$12+R75)*S75)</f>
        <v>8283.8233333333337</v>
      </c>
      <c r="V75" s="268">
        <f>K75+(O75*S75)</f>
        <v>0</v>
      </c>
      <c r="W75" s="268">
        <f>L75+(P75*S75)</f>
        <v>80</v>
      </c>
      <c r="X75" s="207" t="s">
        <v>592</v>
      </c>
      <c r="Y75" s="266" t="s">
        <v>523</v>
      </c>
    </row>
    <row r="76" spans="1:30" s="204" customFormat="1" ht="36" customHeight="1" x14ac:dyDescent="0.3">
      <c r="A76" s="245">
        <v>4.7</v>
      </c>
      <c r="B76" s="245"/>
      <c r="C76" s="245"/>
      <c r="D76" s="245"/>
      <c r="E76" s="245"/>
      <c r="F76" s="245"/>
      <c r="G76" s="245" t="s">
        <v>123</v>
      </c>
      <c r="H76" s="246"/>
      <c r="I76" s="246"/>
      <c r="J76" s="247" t="s">
        <v>26</v>
      </c>
      <c r="K76" s="247"/>
      <c r="L76" s="247"/>
      <c r="M76" s="248"/>
      <c r="N76" s="248"/>
      <c r="O76" s="247"/>
      <c r="P76" s="247"/>
      <c r="Q76" s="248"/>
      <c r="R76" s="248"/>
      <c r="S76" s="247"/>
      <c r="T76" s="247"/>
      <c r="U76" s="247"/>
      <c r="V76" s="249"/>
      <c r="W76" s="249"/>
      <c r="X76" s="256"/>
      <c r="Y76" s="250"/>
    </row>
    <row r="77" spans="1:30" s="204" customFormat="1" ht="39.9" customHeight="1" x14ac:dyDescent="0.3">
      <c r="A77" s="200" t="s">
        <v>181</v>
      </c>
      <c r="B77" s="200" t="s">
        <v>171</v>
      </c>
      <c r="C77" s="209" t="s">
        <v>146</v>
      </c>
      <c r="D77" s="261" t="s">
        <v>82</v>
      </c>
      <c r="F77" s="879" t="s">
        <v>180</v>
      </c>
      <c r="G77" s="880"/>
      <c r="H77" s="880"/>
      <c r="I77" s="881"/>
      <c r="J77" s="213" t="s">
        <v>26</v>
      </c>
      <c r="K77" s="241">
        <v>0</v>
      </c>
      <c r="L77" s="241">
        <v>0</v>
      </c>
      <c r="M77" s="240">
        <v>0</v>
      </c>
      <c r="N77" s="240">
        <v>0</v>
      </c>
      <c r="O77" s="206">
        <v>0</v>
      </c>
      <c r="P77" s="206">
        <v>0</v>
      </c>
      <c r="Q77" s="240">
        <v>0</v>
      </c>
      <c r="R77" s="240">
        <v>0</v>
      </c>
      <c r="S77" s="206">
        <v>0</v>
      </c>
      <c r="T77" s="267">
        <f>K77*$C$12+M77+((O77*$C$12+Q77)*S77)</f>
        <v>0</v>
      </c>
      <c r="U77" s="267">
        <f>L77*$C$12+N77+((P77*$C$12+R77)*S77)</f>
        <v>0</v>
      </c>
      <c r="V77" s="268">
        <f>K77+(O77*S77)</f>
        <v>0</v>
      </c>
      <c r="W77" s="268">
        <f>L77+(P77*S77)</f>
        <v>0</v>
      </c>
      <c r="X77" s="207" t="s">
        <v>361</v>
      </c>
      <c r="Y77" s="208" t="s">
        <v>523</v>
      </c>
    </row>
    <row r="78" spans="1:30" s="204" customFormat="1" ht="36" customHeight="1" x14ac:dyDescent="0.3">
      <c r="A78" s="245">
        <v>4.8</v>
      </c>
      <c r="B78" s="245"/>
      <c r="C78" s="245"/>
      <c r="D78" s="245"/>
      <c r="E78" s="901" t="s">
        <v>145</v>
      </c>
      <c r="F78" s="902"/>
      <c r="G78" s="902"/>
      <c r="H78" s="902"/>
      <c r="I78" s="903"/>
      <c r="J78" s="247"/>
      <c r="K78" s="247"/>
      <c r="L78" s="247"/>
      <c r="M78" s="248"/>
      <c r="N78" s="248"/>
      <c r="O78" s="247"/>
      <c r="P78" s="247"/>
      <c r="Q78" s="248"/>
      <c r="R78" s="248"/>
      <c r="S78" s="247"/>
      <c r="T78" s="247"/>
      <c r="U78" s="247"/>
      <c r="V78" s="249"/>
      <c r="W78" s="249"/>
      <c r="X78" s="250"/>
      <c r="Y78" s="250"/>
    </row>
    <row r="79" spans="1:30" s="204" customFormat="1" ht="101.25" customHeight="1" x14ac:dyDescent="0.3">
      <c r="A79" s="200" t="s">
        <v>168</v>
      </c>
      <c r="B79" s="200" t="s">
        <v>107</v>
      </c>
      <c r="C79" s="200"/>
      <c r="D79" s="260" t="s">
        <v>83</v>
      </c>
      <c r="F79" s="882" t="s">
        <v>143</v>
      </c>
      <c r="G79" s="883"/>
      <c r="H79" s="883"/>
      <c r="I79" s="884"/>
      <c r="J79" s="213" t="s">
        <v>34</v>
      </c>
      <c r="K79" s="213">
        <v>0</v>
      </c>
      <c r="L79" s="213">
        <v>0</v>
      </c>
      <c r="M79" s="257">
        <v>0</v>
      </c>
      <c r="N79" s="257">
        <v>0</v>
      </c>
      <c r="O79" s="213">
        <v>20</v>
      </c>
      <c r="P79" s="213">
        <v>20</v>
      </c>
      <c r="Q79" s="257">
        <v>100</v>
      </c>
      <c r="R79" s="257">
        <v>500</v>
      </c>
      <c r="S79" s="213">
        <v>5</v>
      </c>
      <c r="T79" s="240">
        <f>K79*$C$12+M79+(((O79*$C$12)+Q79)*S79)</f>
        <v>10500</v>
      </c>
      <c r="U79" s="240">
        <f>L79*$C$12+N79+((P79*$C$12+R79)*S79)</f>
        <v>12500</v>
      </c>
      <c r="V79" s="241">
        <f>K79+(O79*S79)</f>
        <v>100</v>
      </c>
      <c r="W79" s="241">
        <f>L79+(P79*S79)</f>
        <v>100</v>
      </c>
      <c r="X79" s="207"/>
      <c r="Y79" s="266" t="s">
        <v>523</v>
      </c>
    </row>
    <row r="80" spans="1:30" s="204" customFormat="1" ht="36" customHeight="1" x14ac:dyDescent="0.3">
      <c r="A80" s="200" t="s">
        <v>169</v>
      </c>
      <c r="B80" s="200" t="s">
        <v>2</v>
      </c>
      <c r="C80" s="200"/>
      <c r="D80" s="260" t="s">
        <v>83</v>
      </c>
      <c r="E80" s="204" t="s">
        <v>91</v>
      </c>
      <c r="F80" s="882" t="s">
        <v>144</v>
      </c>
      <c r="G80" s="883"/>
      <c r="H80" s="883"/>
      <c r="I80" s="884"/>
      <c r="J80" s="213" t="s">
        <v>34</v>
      </c>
      <c r="K80" s="213">
        <v>0</v>
      </c>
      <c r="L80" s="213">
        <v>0</v>
      </c>
      <c r="M80" s="213">
        <v>0</v>
      </c>
      <c r="N80" s="243">
        <v>0</v>
      </c>
      <c r="O80" s="213"/>
      <c r="P80" s="213"/>
      <c r="Q80" s="213">
        <v>0</v>
      </c>
      <c r="R80" s="243">
        <v>0</v>
      </c>
      <c r="S80" s="213"/>
      <c r="T80" s="240">
        <f>K80*$C$12+M80+((O80*$C$12+Q80)*S80)</f>
        <v>0</v>
      </c>
      <c r="U80" s="240">
        <f>L80*$C$12+N80+((P80*$C$12+R80)*S80)</f>
        <v>0</v>
      </c>
      <c r="V80" s="241">
        <f>K80+(O80*S80)</f>
        <v>0</v>
      </c>
      <c r="W80" s="241">
        <f>L80+(P80*S80)</f>
        <v>0</v>
      </c>
      <c r="X80" s="207" t="s">
        <v>329</v>
      </c>
      <c r="Y80" s="266" t="s">
        <v>523</v>
      </c>
    </row>
    <row r="81" spans="1:25" s="406" customFormat="1" ht="55.65" customHeight="1" x14ac:dyDescent="0.3">
      <c r="A81" s="348"/>
      <c r="B81" s="348"/>
      <c r="C81" s="348"/>
      <c r="D81" s="348"/>
      <c r="E81" s="348"/>
      <c r="F81" s="348"/>
      <c r="G81" s="348"/>
      <c r="H81" s="348"/>
      <c r="I81" s="348"/>
      <c r="J81" s="270"/>
      <c r="K81" s="270"/>
      <c r="L81" s="270"/>
      <c r="M81" s="271"/>
      <c r="N81" s="271"/>
      <c r="O81" s="270"/>
      <c r="P81" s="270"/>
      <c r="Q81" s="271"/>
      <c r="R81" s="271"/>
      <c r="S81" s="351" t="s">
        <v>537</v>
      </c>
      <c r="T81" s="352">
        <f>ROUND((SUM(T30:T80)-T77-T75-T71-T70-T53-T42-T32),3-(INT(LOG((SUM(T30:T80)-T77-T75-T71-T70-T53-T42-T32))+1)))</f>
        <v>48500</v>
      </c>
      <c r="U81" s="352">
        <f>ROUND((SUM(U30:U80)-U77-U75-U71-U70-U53-U42-U32-U61),3-(INT(LOG((SUM(U30:U80)-U77-U75-U71-U70-U53-U42-U32-U61))+1)))</f>
        <v>138000</v>
      </c>
      <c r="V81" s="353">
        <f>ROUND((SUM(V30:V80)-V77-V75-V71-V70-V53-V42-V32),3-(INT(LOG((SUM(V30:V80)-V77-V75-V71-V70-V53-V42-V32))+1)))</f>
        <v>460</v>
      </c>
      <c r="W81" s="353">
        <f>ROUND((SUM(W30:W80)-W77-W75-W71-W70-W53-W42-W32-W61),3-(INT(LOG((SUM(W30:W80)-W77-W75-W71-W70-W53-W42-W32-W61))+1)))</f>
        <v>1330</v>
      </c>
      <c r="X81" s="284" t="s">
        <v>594</v>
      </c>
      <c r="Y81" s="348"/>
    </row>
    <row r="82" spans="1:25" x14ac:dyDescent="0.3">
      <c r="A82" s="45"/>
      <c r="K82" s="47"/>
      <c r="L82" s="47"/>
      <c r="M82" s="47"/>
      <c r="N82" s="47"/>
      <c r="O82" s="47"/>
      <c r="P82" s="47"/>
      <c r="V82" s="59"/>
      <c r="W82" s="59"/>
    </row>
    <row r="84" spans="1:25" x14ac:dyDescent="0.3">
      <c r="K84" s="424"/>
      <c r="L84" s="424"/>
      <c r="O84" s="424"/>
      <c r="P84" s="424"/>
    </row>
  </sheetData>
  <mergeCells count="97">
    <mergeCell ref="E26:E28"/>
    <mergeCell ref="F26:I28"/>
    <mergeCell ref="F32:I32"/>
    <mergeCell ref="F34:I34"/>
    <mergeCell ref="K26:N26"/>
    <mergeCell ref="F33:I33"/>
    <mergeCell ref="J26:J28"/>
    <mergeCell ref="Y26:Y28"/>
    <mergeCell ref="V27:W27"/>
    <mergeCell ref="V47:V48"/>
    <mergeCell ref="W47:W48"/>
    <mergeCell ref="X47:X48"/>
    <mergeCell ref="X61:X64"/>
    <mergeCell ref="O26:R26"/>
    <mergeCell ref="S26:S28"/>
    <mergeCell ref="T26:W26"/>
    <mergeCell ref="X26:X28"/>
    <mergeCell ref="U47:U48"/>
    <mergeCell ref="Q27:R27"/>
    <mergeCell ref="T27:U27"/>
    <mergeCell ref="R47:R48"/>
    <mergeCell ref="S47:S48"/>
    <mergeCell ref="Q38:R38"/>
    <mergeCell ref="Q47:Q48"/>
    <mergeCell ref="O47:O48"/>
    <mergeCell ref="P47:P48"/>
    <mergeCell ref="F35:I35"/>
    <mergeCell ref="O27:P27"/>
    <mergeCell ref="F29:I29"/>
    <mergeCell ref="F31:I31"/>
    <mergeCell ref="F30:I30"/>
    <mergeCell ref="K27:L27"/>
    <mergeCell ref="M27:N27"/>
    <mergeCell ref="F43:I43"/>
    <mergeCell ref="G41:I41"/>
    <mergeCell ref="L47:L48"/>
    <mergeCell ref="F44:I44"/>
    <mergeCell ref="F40:I40"/>
    <mergeCell ref="F42:I42"/>
    <mergeCell ref="K47:K48"/>
    <mergeCell ref="A1:C1"/>
    <mergeCell ref="B17:C17"/>
    <mergeCell ref="D17:E17"/>
    <mergeCell ref="A5:B5"/>
    <mergeCell ref="A6:B6"/>
    <mergeCell ref="A10:B10"/>
    <mergeCell ref="A13:B13"/>
    <mergeCell ref="A14:B14"/>
    <mergeCell ref="A12:B12"/>
    <mergeCell ref="A11:B11"/>
    <mergeCell ref="A2:B2"/>
    <mergeCell ref="A3:B3"/>
    <mergeCell ref="A4:B4"/>
    <mergeCell ref="A7:B7"/>
    <mergeCell ref="A9:B9"/>
    <mergeCell ref="A8:B8"/>
    <mergeCell ref="F36:I36"/>
    <mergeCell ref="A26:A28"/>
    <mergeCell ref="B26:B28"/>
    <mergeCell ref="C26:C28"/>
    <mergeCell ref="F80:I80"/>
    <mergeCell ref="E78:I78"/>
    <mergeCell ref="F77:I77"/>
    <mergeCell ref="F79:I79"/>
    <mergeCell ref="F47:I47"/>
    <mergeCell ref="F48:I48"/>
    <mergeCell ref="D26:D28"/>
    <mergeCell ref="F38:I38"/>
    <mergeCell ref="F39:I39"/>
    <mergeCell ref="F37:I37"/>
    <mergeCell ref="F45:I45"/>
    <mergeCell ref="F55:I55"/>
    <mergeCell ref="F49:I49"/>
    <mergeCell ref="F69:I69"/>
    <mergeCell ref="G66:I66"/>
    <mergeCell ref="F51:I51"/>
    <mergeCell ref="Y47:Y48"/>
    <mergeCell ref="G63:I63"/>
    <mergeCell ref="G64:I64"/>
    <mergeCell ref="G65:I65"/>
    <mergeCell ref="F67:I67"/>
    <mergeCell ref="T47:T48"/>
    <mergeCell ref="F56:I56"/>
    <mergeCell ref="F54:I54"/>
    <mergeCell ref="F52:I52"/>
    <mergeCell ref="F53:I53"/>
    <mergeCell ref="M47:M48"/>
    <mergeCell ref="N47:N48"/>
    <mergeCell ref="F71:I71"/>
    <mergeCell ref="F72:I72"/>
    <mergeCell ref="F74:I74"/>
    <mergeCell ref="F75:I75"/>
    <mergeCell ref="F58:I58"/>
    <mergeCell ref="F59:I59"/>
    <mergeCell ref="F60:I60"/>
    <mergeCell ref="F61:I61"/>
    <mergeCell ref="F70:I70"/>
  </mergeCells>
  <pageMargins left="0.7" right="0.7" top="0.75" bottom="0.75" header="0.3" footer="0.3"/>
  <pageSetup paperSize="17" scale="39" fitToHeight="4"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9be3f55f-8098-485e-a615-a10e4181e135">
      <Terms xmlns="http://schemas.microsoft.com/office/infopath/2007/PartnerControls"/>
    </TaxKeywordTaxHTField>
    <TaxCatchAll xmlns="9be3f55f-8098-485e-a615-a10e4181e135">
      <Value>101</Value>
      <Value>103</Value>
    </TaxCatchAll>
    <pf601aed3de749a898c3b06239b052af xmlns="ca10bfc4-f870-4cc3-8a61-ea9a369e3574">
      <Terms xmlns="http://schemas.microsoft.com/office/infopath/2007/PartnerControls">
        <TermInfo xmlns="http://schemas.microsoft.com/office/infopath/2007/PartnerControls">
          <TermName xmlns="http://schemas.microsoft.com/office/infopath/2007/PartnerControls">Cape Cod Commission</TermName>
          <TermId xmlns="http://schemas.microsoft.com/office/infopath/2007/PartnerControls">4607cd07-312c-43b3-b5aa-f93d48ff326a</TermId>
        </TermInfo>
      </Terms>
    </pf601aed3de749a898c3b06239b052af>
    <k20b5b353c2d4a59a44170cce5889c20 xmlns="5d982bf3-a48c-4351-8fdb-12b10060851e">
      <Terms xmlns="http://schemas.microsoft.com/office/infopath/2007/PartnerControls"/>
    </k20b5b353c2d4a59a44170cce5889c20>
    <k1250adc1ff244fa903739753c5e73ff xmlns="5d982bf3-a48c-4351-8fdb-12b10060851e">
      <Terms xmlns="http://schemas.microsoft.com/office/infopath/2007/PartnerControls">
        <TermInfo xmlns="http://schemas.microsoft.com/office/infopath/2007/PartnerControls">
          <TermName xmlns="http://schemas.microsoft.com/office/infopath/2007/PartnerControls">web</TermName>
          <TermId xmlns="http://schemas.microsoft.com/office/infopath/2007/PartnerControls">9932c02a-dfc7-4cbe-ae78-3976b987aa6a</TermId>
        </TermInfo>
      </Terms>
    </k1250adc1ff244fa903739753c5e73ff>
    <mc1af4c238594e12bbb9206d9aa9c5d3 xmlns="5d982bf3-a48c-4351-8fdb-12b10060851e">
      <Terms xmlns="http://schemas.microsoft.com/office/infopath/2007/PartnerControls"/>
    </mc1af4c238594e12bbb9206d9aa9c5d3>
    <ned4871b43f142479a1da9e4dec3ead3 xmlns="5d982bf3-a48c-4351-8fdb-12b10060851e">
      <Terms xmlns="http://schemas.microsoft.com/office/infopath/2007/PartnerControls"/>
    </ned4871b43f142479a1da9e4dec3ead3>
    <MeetingTime xmlns="5d982bf3-a48c-4351-8fdb-12b10060851e" xsi:nil="true"/>
    <DocumentSetDescription xmlns="http://schemas.microsoft.com/sharepoint/v3" xsi:nil="true"/>
    <a7e4010d7db74f61a5af14041442919b xmlns="5d982bf3-a48c-4351-8fdb-12b10060851e">
      <Terms xmlns="http://schemas.microsoft.com/office/infopath/2007/PartnerControls"/>
    </a7e4010d7db74f61a5af14041442919b>
    <pd51286b66fa4a86843a97fa5c0abf9b xmlns="5d982bf3-a48c-4351-8fdb-12b10060851e">
      <Terms xmlns="http://schemas.microsoft.com/office/infopath/2007/PartnerControls"/>
    </pd51286b66fa4a86843a97fa5c0abf9b>
    <ia4fe8ee8d364c9f8d8b37e8c9aeedb6 xmlns="5d982bf3-a48c-4351-8fdb-12b10060851e">
      <Terms xmlns="http://schemas.microsoft.com/office/infopath/2007/PartnerControls"/>
    </ia4fe8ee8d364c9f8d8b37e8c9aeedb6>
    <h112d938ec0d43dd9854c9c3eeef9a58 xmlns="ca10bfc4-f870-4cc3-8a61-ea9a369e3574">
      <Terms xmlns="http://schemas.microsoft.com/office/infopath/2007/PartnerControls"/>
    </h112d938ec0d43dd9854c9c3eeef9a58>
    <fe949326ff6d4687acbf295dda149b37 xmlns="5d982bf3-a48c-4351-8fdb-12b10060851e">
      <Terms xmlns="http://schemas.microsoft.com/office/infopath/2007/PartnerControls"/>
    </fe949326ff6d4687acbf295dda149b37>
    <f5e281ca94284717b7c7159eb77159f5 xmlns="ca10bfc4-f870-4cc3-8a61-ea9a369e3574">
      <Terms xmlns="http://schemas.microsoft.com/office/infopath/2007/PartnerControls"/>
    </f5e281ca94284717b7c7159eb77159f5>
    <h7e9c4cc72fb4de094bf87e96890c0c2 xmlns="ca10bfc4-f870-4cc3-8a61-ea9a369e3574">
      <Terms xmlns="http://schemas.microsoft.com/office/infopath/2007/PartnerControls"/>
    </h7e9c4cc72fb4de094bf87e96890c0c2>
    <aeec274ad21c4909ab5fb112d68909fb xmlns="5d982bf3-a48c-4351-8fdb-12b10060851e">
      <Terms xmlns="http://schemas.microsoft.com/office/infopath/2007/PartnerControls"/>
    </aeec274ad21c4909ab5fb112d68909fb>
    <lcf76f155ced4ddcb4097134ff3c332f xmlns="ca10bfc4-f870-4cc3-8a61-ea9a369e357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30D1B4B03E9CC4698987C706C095295" ma:contentTypeVersion="85" ma:contentTypeDescription="Create a new document." ma:contentTypeScope="" ma:versionID="0965e8fb4b95ff75db25e7b2eed12ce6">
  <xsd:schema xmlns:xsd="http://www.w3.org/2001/XMLSchema" xmlns:xs="http://www.w3.org/2001/XMLSchema" xmlns:p="http://schemas.microsoft.com/office/2006/metadata/properties" xmlns:ns1="http://schemas.microsoft.com/sharepoint/v3" xmlns:ns2="ca10bfc4-f870-4cc3-8a61-ea9a369e3574" xmlns:ns3="5d982bf3-a48c-4351-8fdb-12b10060851e" xmlns:ns4="9be3f55f-8098-485e-a615-a10e4181e135" targetNamespace="http://schemas.microsoft.com/office/2006/metadata/properties" ma:root="true" ma:fieldsID="209a16c3e26a1362275b108d9e047285" ns1:_="" ns2:_="" ns3:_="" ns4:_="">
    <xsd:import namespace="http://schemas.microsoft.com/sharepoint/v3"/>
    <xsd:import namespace="ca10bfc4-f870-4cc3-8a61-ea9a369e3574"/>
    <xsd:import namespace="5d982bf3-a48c-4351-8fdb-12b10060851e"/>
    <xsd:import namespace="9be3f55f-8098-485e-a615-a10e4181e135"/>
    <xsd:element name="properties">
      <xsd:complexType>
        <xsd:sequence>
          <xsd:element name="documentManagement">
            <xsd:complexType>
              <xsd:all>
                <xsd:element ref="ns4:TaxCatchAll" minOccurs="0"/>
                <xsd:element ref="ns3:ia4fe8ee8d364c9f8d8b37e8c9aeedb6" minOccurs="0"/>
                <xsd:element ref="ns2:h112d938ec0d43dd9854c9c3eeef9a58" minOccurs="0"/>
                <xsd:element ref="ns2:pf601aed3de749a898c3b06239b052af" minOccurs="0"/>
                <xsd:element ref="ns2:h7e9c4cc72fb4de094bf87e96890c0c2" minOccurs="0"/>
                <xsd:element ref="ns3:a7e4010d7db74f61a5af14041442919b" minOccurs="0"/>
                <xsd:element ref="ns2:MediaServiceMetadata" minOccurs="0"/>
                <xsd:element ref="ns2:MediaServiceFastMetadata" minOccurs="0"/>
                <xsd:element ref="ns2:MediaServiceAutoTags" minOccurs="0"/>
                <xsd:element ref="ns2:MediaServiceOCR" minOccurs="0"/>
                <xsd:element ref="ns3:ned4871b43f142479a1da9e4dec3ead3" minOccurs="0"/>
                <xsd:element ref="ns3:pd51286b66fa4a86843a97fa5c0abf9b" minOccurs="0"/>
                <xsd:element ref="ns3:k20b5b353c2d4a59a44170cce5889c20" minOccurs="0"/>
                <xsd:element ref="ns2:MediaServiceDateTaken" minOccurs="0"/>
                <xsd:element ref="ns2:MediaServiceLocation" minOccurs="0"/>
                <xsd:element ref="ns4:TaxKeywordTaxHTField" minOccurs="0"/>
                <xsd:element ref="ns2:f5e281ca94284717b7c7159eb77159f5" minOccurs="0"/>
                <xsd:element ref="ns3:k1250adc1ff244fa903739753c5e73ff" minOccurs="0"/>
                <xsd:element ref="ns3:MeetingTime" minOccurs="0"/>
                <xsd:element ref="ns3:fe949326ff6d4687acbf295dda149b37" minOccurs="0"/>
                <xsd:element ref="ns2:MediaServiceGenerationTime" minOccurs="0"/>
                <xsd:element ref="ns2:MediaServiceEventHashCode" minOccurs="0"/>
                <xsd:element ref="ns3:aeec274ad21c4909ab5fb112d68909fb" minOccurs="0"/>
                <xsd:element ref="ns4:SharedWithUsers" minOccurs="0"/>
                <xsd:element ref="ns4:SharedWithDetails" minOccurs="0"/>
                <xsd:element ref="ns3:mc1af4c238594e12bbb9206d9aa9c5d3" minOccurs="0"/>
                <xsd:element ref="ns1:DocumentSetDescrip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8"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10bfc4-f870-4cc3-8a61-ea9a369e3574" elementFormDefault="qualified">
    <xsd:import namespace="http://schemas.microsoft.com/office/2006/documentManagement/types"/>
    <xsd:import namespace="http://schemas.microsoft.com/office/infopath/2007/PartnerControls"/>
    <xsd:element name="h112d938ec0d43dd9854c9c3eeef9a58" ma:index="16" nillable="true" ma:taxonomy="true" ma:internalName="h112d938ec0d43dd9854c9c3eeef9a58" ma:taxonomyFieldName="Program_x0020_Area" ma:displayName="Program Area" ma:readOnly="false" ma:default="" ma:fieldId="{1112d938-ec0d-43dd-9854-c9c3eeef9a58}" ma:taxonomyMulti="true" ma:sspId="cceb9721-df7c-4dbc-8f19-77f5dc396abe" ma:termSetId="bbb3c8d7-3f85-4b92-b602-0a181370541a" ma:anchorId="00000000-0000-0000-0000-000000000000" ma:open="false" ma:isKeyword="false">
      <xsd:complexType>
        <xsd:sequence>
          <xsd:element ref="pc:Terms" minOccurs="0" maxOccurs="1"/>
        </xsd:sequence>
      </xsd:complexType>
    </xsd:element>
    <xsd:element name="pf601aed3de749a898c3b06239b052af" ma:index="17" nillable="true" ma:taxonomy="true" ma:internalName="pf601aed3de749a898c3b06239b052af" ma:taxonomyFieldName="Agency" ma:displayName="Agency" ma:readOnly="false" ma:default="" ma:fieldId="{9f601aed-3de7-49a8-98c3-b06239b052af}" ma:taxonomyMulti="true" ma:sspId="cceb9721-df7c-4dbc-8f19-77f5dc396abe" ma:termSetId="a014325f-77f6-4581-a969-155462e883c4" ma:anchorId="00000000-0000-0000-0000-000000000000" ma:open="false" ma:isKeyword="false">
      <xsd:complexType>
        <xsd:sequence>
          <xsd:element ref="pc:Terms" minOccurs="0" maxOccurs="1"/>
        </xsd:sequence>
      </xsd:complexType>
    </xsd:element>
    <xsd:element name="h7e9c4cc72fb4de094bf87e96890c0c2" ma:index="18" nillable="true" ma:taxonomy="true" ma:internalName="h7e9c4cc72fb4de094bf87e96890c0c2" ma:taxonomyFieldName="Year" ma:displayName="Year" ma:indexed="true" ma:default="" ma:fieldId="{17e9c4cc-72fb-4de0-94bf-87e96890c0c2}" ma:sspId="cceb9721-df7c-4dbc-8f19-77f5dc396abe" ma:termSetId="038d3ef1-10e1-46c9-9eee-9c06d74a4573" ma:anchorId="00000000-0000-0000-0000-000000000000" ma:open="false" ma:isKeyword="false">
      <xsd:complexType>
        <xsd:sequence>
          <xsd:element ref="pc:Terms" minOccurs="0" maxOccurs="1"/>
        </xsd:sequence>
      </xsd:complex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ServiceLocation" ma:index="28" nillable="true" ma:displayName="MediaServiceLocation" ma:internalName="MediaServiceLocation" ma:readOnly="true">
      <xsd:simpleType>
        <xsd:restriction base="dms:Text"/>
      </xsd:simpleType>
    </xsd:element>
    <xsd:element name="f5e281ca94284717b7c7159eb77159f5" ma:index="31" nillable="true" ma:taxonomy="true" ma:internalName="f5e281ca94284717b7c7159eb77159f5" ma:taxonomyFieldName="Project_x0020_ID" ma:displayName="Project ID" ma:default="" ma:fieldId="{f5e281ca-9428-4717-b7c7-159eb77159f5}" ma:taxonomyMulti="true" ma:sspId="cceb9721-df7c-4dbc-8f19-77f5dc396abe" ma:termSetId="a246038d-ca75-49fa-bd90-277acabb185f" ma:anchorId="00000000-0000-0000-0000-000000000000" ma:open="false" ma:isKeyword="false">
      <xsd:complexType>
        <xsd:sequence>
          <xsd:element ref="pc:Terms" minOccurs="0" maxOccurs="1"/>
        </xsd:sequence>
      </xsd:complex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EventHashCode" ma:index="41" nillable="true" ma:displayName="MediaServiceEventHashCode" ma:hidden="true" ma:internalName="MediaServiceEventHashCode" ma:readOnly="true">
      <xsd:simpleType>
        <xsd:restriction base="dms:Text"/>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cceb9721-df7c-4dbc-8f19-77f5dc396ab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982bf3-a48c-4351-8fdb-12b10060851e" elementFormDefault="qualified">
    <xsd:import namespace="http://schemas.microsoft.com/office/2006/documentManagement/types"/>
    <xsd:import namespace="http://schemas.microsoft.com/office/infopath/2007/PartnerControls"/>
    <xsd:element name="ia4fe8ee8d364c9f8d8b37e8c9aeedb6" ma:index="15" nillable="true" ma:taxonomy="true" ma:internalName="ia4fe8ee8d364c9f8d8b37e8c9aeedb6" ma:taxonomyFieldName="Town_x0020_or_x0020_Village" ma:displayName="Town or Village" ma:default="" ma:fieldId="{2a4fe8ee-8d36-4c9f-8d8b-37e8c9aeedb6}" ma:taxonomyMulti="true" ma:sspId="cceb9721-df7c-4dbc-8f19-77f5dc396abe" ma:termSetId="64630a1b-9342-481d-953c-3caea2ee54e7" ma:anchorId="00000000-0000-0000-0000-000000000000" ma:open="false" ma:isKeyword="false">
      <xsd:complexType>
        <xsd:sequence>
          <xsd:element ref="pc:Terms" minOccurs="0" maxOccurs="1"/>
        </xsd:sequence>
      </xsd:complexType>
    </xsd:element>
    <xsd:element name="a7e4010d7db74f61a5af14041442919b" ma:index="19" nillable="true" ma:taxonomy="true" ma:internalName="a7e4010d7db74f61a5af14041442919b" ma:taxonomyFieldName="Regulatory_x0020_Review_x0020_Types" ma:displayName="Regulatory Review Types" ma:indexed="true" ma:default="" ma:fieldId="{a7e4010d-7db7-4f61-a5af-14041442919b}" ma:sspId="cceb9721-df7c-4dbc-8f19-77f5dc396abe" ma:termSetId="e757629f-12ed-4ccb-be55-a034738c244c" ma:anchorId="00000000-0000-0000-0000-000000000000" ma:open="false" ma:isKeyword="false">
      <xsd:complexType>
        <xsd:sequence>
          <xsd:element ref="pc:Terms" minOccurs="0" maxOccurs="1"/>
        </xsd:sequence>
      </xsd:complexType>
    </xsd:element>
    <xsd:element name="ned4871b43f142479a1da9e4dec3ead3" ma:index="24" nillable="true" ma:taxonomy="true" ma:internalName="ned4871b43f142479a1da9e4dec3ead3" ma:taxonomyFieldName="CCC_x0020_Plans" ma:displayName="CCC Plans" ma:default="" ma:fieldId="{7ed4871b-43f1-4247-9a1d-a9e4dec3ead3}" ma:sspId="cceb9721-df7c-4dbc-8f19-77f5dc396abe" ma:termSetId="e8cc82b8-12c0-455f-a3a2-81036c43199c" ma:anchorId="00000000-0000-0000-0000-000000000000" ma:open="false" ma:isKeyword="false">
      <xsd:complexType>
        <xsd:sequence>
          <xsd:element ref="pc:Terms" minOccurs="0" maxOccurs="1"/>
        </xsd:sequence>
      </xsd:complexType>
    </xsd:element>
    <xsd:element name="pd51286b66fa4a86843a97fa5c0abf9b" ma:index="25" nillable="true" ma:taxonomy="true" ma:internalName="pd51286b66fa4a86843a97fa5c0abf9b" ma:taxonomyFieldName="CCC_x0020_Keywords" ma:displayName="CCC Keywords" ma:default="" ma:fieldId="{9d51286b-66fa-4a86-843a-97fa5c0abf9b}" ma:taxonomyMulti="true" ma:sspId="cceb9721-df7c-4dbc-8f19-77f5dc396abe" ma:termSetId="237bb7e9-aef9-4b25-8f13-0a1384048748" ma:anchorId="00000000-0000-0000-0000-000000000000" ma:open="true" ma:isKeyword="false">
      <xsd:complexType>
        <xsd:sequence>
          <xsd:element ref="pc:Terms" minOccurs="0" maxOccurs="1"/>
        </xsd:sequence>
      </xsd:complexType>
    </xsd:element>
    <xsd:element name="k20b5b353c2d4a59a44170cce5889c20" ma:index="26" nillable="true" ma:taxonomy="true" ma:internalName="k20b5b353c2d4a59a44170cce5889c20" ma:taxonomyFieldName="CCC_x0020_Document_x0020_Type" ma:displayName="Document Type" ma:indexed="true" ma:default="" ma:fieldId="{420b5b35-3c2d-4a59-a441-70cce5889c20}" ma:sspId="cceb9721-df7c-4dbc-8f19-77f5dc396abe" ma:termSetId="2f5adcc4-b536-4831-8487-2b04e936f6a9" ma:anchorId="00000000-0000-0000-0000-000000000000" ma:open="false" ma:isKeyword="false">
      <xsd:complexType>
        <xsd:sequence>
          <xsd:element ref="pc:Terms" minOccurs="0" maxOccurs="1"/>
        </xsd:sequence>
      </xsd:complexType>
    </xsd:element>
    <xsd:element name="k1250adc1ff244fa903739753c5e73ff" ma:index="36" nillable="true" ma:taxonomy="true" ma:internalName="k1250adc1ff244fa903739753c5e73ff" ma:taxonomyFieldName="WebResources" ma:displayName="WebResources" ma:default="101;#web|9932c02a-dfc7-4cbe-ae78-3976b987aa6a" ma:fieldId="{41250adc-1ff2-44fa-9037-39753c5e73ff}" ma:sspId="cceb9721-df7c-4dbc-8f19-77f5dc396abe" ma:termSetId="3a3b1e03-2606-4712-baee-4715bbe485c1" ma:anchorId="00000000-0000-0000-0000-000000000000" ma:open="false" ma:isKeyword="false">
      <xsd:complexType>
        <xsd:sequence>
          <xsd:element ref="pc:Terms" minOccurs="0" maxOccurs="1"/>
        </xsd:sequence>
      </xsd:complexType>
    </xsd:element>
    <xsd:element name="MeetingTime" ma:index="37" nillable="true" ma:displayName="MeetingTime" ma:format="DateTime" ma:indexed="true" ma:internalName="MeetingTime">
      <xsd:simpleType>
        <xsd:restriction base="dms:DateTime"/>
      </xsd:simpleType>
    </xsd:element>
    <xsd:element name="fe949326ff6d4687acbf295dda149b37" ma:index="39" nillable="true" ma:taxonomy="true" ma:internalName="fe949326ff6d4687acbf295dda149b37" ma:taxonomyFieldName="SiteDomains" ma:displayName="Domains" ma:indexed="true" ma:default="" ma:fieldId="{fe949326-ff6d-4687-acbf-295dda149b37}" ma:sspId="cceb9721-df7c-4dbc-8f19-77f5dc396abe" ma:termSetId="f3a86052-10d6-4365-9271-fd817bb07314" ma:anchorId="00000000-0000-0000-0000-000000000000" ma:open="false" ma:isKeyword="false">
      <xsd:complexType>
        <xsd:sequence>
          <xsd:element ref="pc:Terms" minOccurs="0" maxOccurs="1"/>
        </xsd:sequence>
      </xsd:complexType>
    </xsd:element>
    <xsd:element name="aeec274ad21c4909ab5fb112d68909fb" ma:index="43" nillable="true" ma:taxonomy="true" ma:internalName="aeec274ad21c4909ab5fb112d68909fb" ma:taxonomyFieldName="Document_x0020_Status" ma:displayName="Document Status" ma:default="" ma:fieldId="{aeec274a-d21c-4909-ab5f-b112d68909fb}" ma:sspId="cceb9721-df7c-4dbc-8f19-77f5dc396abe" ma:termSetId="4ec54bb5-14a5-4b45-bcdb-6e98c6089fdf" ma:anchorId="00000000-0000-0000-0000-000000000000" ma:open="false" ma:isKeyword="false">
      <xsd:complexType>
        <xsd:sequence>
          <xsd:element ref="pc:Terms" minOccurs="0" maxOccurs="1"/>
        </xsd:sequence>
      </xsd:complexType>
    </xsd:element>
    <xsd:element name="mc1af4c238594e12bbb9206d9aa9c5d3" ma:index="46" nillable="true" ma:taxonomy="true" ma:internalName="mc1af4c238594e12bbb9206d9aa9c5d3" ma:taxonomyFieldName="Project_x0020_ID0" ma:displayName="Project ID" ma:default="" ma:fieldId="{6c1af4c2-3859-4e12-bbb9-206d9aa9c5d3}" ma:taxonomyMulti="true" ma:sspId="cceb9721-df7c-4dbc-8f19-77f5dc396abe" ma:termSetId="a246038d-ca75-49fa-bd90-277acabb185f"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be3f55f-8098-485e-a615-a10e4181e13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768a9f4-479c-4e6f-93d4-4292895fbc04}" ma:internalName="TaxCatchAll" ma:showField="CatchAllData" ma:web="9be3f55f-8098-485e-a615-a10e4181e135">
      <xsd:complexType>
        <xsd:complexContent>
          <xsd:extension base="dms:MultiChoiceLookup">
            <xsd:sequence>
              <xsd:element name="Value" type="dms:Lookup" maxOccurs="unbounded" minOccurs="0" nillable="true"/>
            </xsd:sequence>
          </xsd:extension>
        </xsd:complexContent>
      </xsd:complexType>
    </xsd:element>
    <xsd:element name="TaxKeywordTaxHTField" ma:index="29" nillable="true" ma:taxonomy="true" ma:internalName="TaxKeywordTaxHTField" ma:taxonomyFieldName="TaxKeyword" ma:displayName="Enterprise Keywords" ma:fieldId="{23f27201-bee3-471e-b2e7-b64fd8b7ca38}" ma:taxonomyMulti="true" ma:sspId="cceb9721-df7c-4dbc-8f19-77f5dc396abe" ma:termSetId="00000000-0000-0000-0000-000000000000" ma:anchorId="00000000-0000-0000-0000-000000000000" ma:open="true" ma:isKeyword="true">
      <xsd:complexType>
        <xsd:sequence>
          <xsd:element ref="pc:Terms" minOccurs="0" maxOccurs="1"/>
        </xsd:sequence>
      </xsd:complexType>
    </xsd:element>
    <xsd:element name="SharedWithUsers" ma:index="4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39484-86AF-4E6F-AF80-D7022D380E1C}">
  <ds:schemaRefs>
    <ds:schemaRef ds:uri="Microsoft.SharePoint.Taxonomy.ContentTypeSync"/>
  </ds:schemaRefs>
</ds:datastoreItem>
</file>

<file path=customXml/itemProps2.xml><?xml version="1.0" encoding="utf-8"?>
<ds:datastoreItem xmlns:ds="http://schemas.openxmlformats.org/officeDocument/2006/customXml" ds:itemID="{5C6D5636-23AE-4E7A-AEEC-13B741086BFF}">
  <ds:schemaRefs>
    <ds:schemaRef ds:uri="http://schemas.microsoft.com/sharepoint/v3/fields"/>
    <ds:schemaRef ds:uri="http://schemas.openxmlformats.org/package/2006/metadata/core-properties"/>
    <ds:schemaRef ds:uri="http://purl.org/dc/terms/"/>
    <ds:schemaRef ds:uri="c03c2557-ef49-414f-86cf-b3496d5f6e03"/>
    <ds:schemaRef ds:uri="http://schemas.microsoft.com/office/infopath/2007/PartnerControls"/>
    <ds:schemaRef ds:uri="http://schemas.microsoft.com/office/2006/documentManagement/types"/>
    <ds:schemaRef ds:uri="4ffa91fb-a0ff-4ac5-b2db-65c790d184a4"/>
    <ds:schemaRef ds:uri="http://schemas.microsoft.com/sharepoint.v3"/>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5BDFA1E7-B06F-4D95-A566-A9D1B3E709FC}"/>
</file>

<file path=customXml/itemProps4.xml><?xml version="1.0" encoding="utf-8"?>
<ds:datastoreItem xmlns:ds="http://schemas.openxmlformats.org/officeDocument/2006/customXml" ds:itemID="{FFE0A58E-AF3E-4976-88A0-CCCE9EFFCE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16</vt:i4>
      </vt:variant>
      <vt:variant>
        <vt:lpstr>Charts</vt:lpstr>
      </vt:variant>
      <vt:variant>
        <vt:i4>1</vt:i4>
      </vt:variant>
      <vt:variant>
        <vt:lpstr>Named Ranges</vt:lpstr>
      </vt:variant>
      <vt:variant>
        <vt:i4>2</vt:i4>
      </vt:variant>
    </vt:vector>
  </HeadingPairs>
  <TitlesOfParts>
    <vt:vector size="19" baseType="lpstr">
      <vt:lpstr>Cover Sheet</vt:lpstr>
      <vt:lpstr>Tasks by Year</vt:lpstr>
      <vt:lpstr>Overview of Total Costs</vt:lpstr>
      <vt:lpstr>Public Education</vt:lpstr>
      <vt:lpstr>Public Participation</vt:lpstr>
      <vt:lpstr>Good Housekeeping</vt:lpstr>
      <vt:lpstr>NOI</vt:lpstr>
      <vt:lpstr>SWMP</vt:lpstr>
      <vt:lpstr>IDDE</vt:lpstr>
      <vt:lpstr>Construction Site Control</vt:lpstr>
      <vt:lpstr>Post Construction Site Control</vt:lpstr>
      <vt:lpstr>Annual Report</vt:lpstr>
      <vt:lpstr>Miscellaneous</vt:lpstr>
      <vt:lpstr>MS4 Stats</vt:lpstr>
      <vt:lpstr>WQ Analysis Costs</vt:lpstr>
      <vt:lpstr>Cost Scaling Considerations</vt:lpstr>
      <vt:lpstr>Chart1</vt:lpstr>
      <vt:lpstr>IDDE!Print_Area</vt:lpstr>
      <vt:lpstr>IDDE!Print_Titles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dc:creator>
  <cp:lastModifiedBy>Jennifer Clinton</cp:lastModifiedBy>
  <cp:revision/>
  <cp:lastPrinted>2018-10-24T16:26:22Z</cp:lastPrinted>
  <dcterms:created xsi:type="dcterms:W3CDTF">2014-12-03T21:02:53Z</dcterms:created>
  <dcterms:modified xsi:type="dcterms:W3CDTF">2019-08-02T15:48:54Z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0x010100A30D1B4B03E9CC4698987C706C095295</vt:lpwstr>
  </property>
  <property fmtid="{D5CDD505-2E9C-101B-9397-08002B2CF9AE}" pid="4" name="TaxKeyword">
    <vt:lpwstr/>
  </property>
  <property fmtid="{D5CDD505-2E9C-101B-9397-08002B2CF9AE}" pid="5" name="e1a5b98cdd71426dacb6e478c7a5882f">
    <vt:lpwstr/>
  </property>
  <property fmtid="{D5CDD505-2E9C-101B-9397-08002B2CF9AE}" pid="6" name="Program Area">
    <vt:lpwstr/>
  </property>
  <property fmtid="{D5CDD505-2E9C-101B-9397-08002B2CF9AE}" pid="7" name="WebResources">
    <vt:lpwstr>101;#web|9932c02a-dfc7-4cbe-ae78-3976b987aa6a</vt:lpwstr>
  </property>
  <property fmtid="{D5CDD505-2E9C-101B-9397-08002B2CF9AE}" pid="8" name="Agency">
    <vt:lpwstr>103;#Cape Cod Commission|4607cd07-312c-43b3-b5aa-f93d48ff326a</vt:lpwstr>
  </property>
  <property fmtid="{D5CDD505-2E9C-101B-9397-08002B2CF9AE}" pid="9" name="Project ID0">
    <vt:lpwstr/>
  </property>
  <property fmtid="{D5CDD505-2E9C-101B-9397-08002B2CF9AE}" pid="10" name="CCC Keywords">
    <vt:lpwstr/>
  </property>
  <property fmtid="{D5CDD505-2E9C-101B-9397-08002B2CF9AE}" pid="11" name="Year">
    <vt:lpwstr/>
  </property>
  <property fmtid="{D5CDD505-2E9C-101B-9397-08002B2CF9AE}" pid="12" name="CCC Plans">
    <vt:lpwstr/>
  </property>
  <property fmtid="{D5CDD505-2E9C-101B-9397-08002B2CF9AE}" pid="13" name="Town or Village">
    <vt:lpwstr/>
  </property>
  <property fmtid="{D5CDD505-2E9C-101B-9397-08002B2CF9AE}" pid="14" name="SiteDomains">
    <vt:lpwstr/>
  </property>
  <property fmtid="{D5CDD505-2E9C-101B-9397-08002B2CF9AE}" pid="15" name="Wiki_x0020_Page_x0020_Categories">
    <vt:lpwstr/>
  </property>
  <property fmtid="{D5CDD505-2E9C-101B-9397-08002B2CF9AE}" pid="16" name="Project ID">
    <vt:lpwstr/>
  </property>
  <property fmtid="{D5CDD505-2E9C-101B-9397-08002B2CF9AE}" pid="17" name="Regulatory Review Types">
    <vt:lpwstr/>
  </property>
  <property fmtid="{D5CDD505-2E9C-101B-9397-08002B2CF9AE}" pid="18" name="Document Status">
    <vt:lpwstr/>
  </property>
  <property fmtid="{D5CDD505-2E9C-101B-9397-08002B2CF9AE}" pid="19" name="CCC Document Type">
    <vt:lpwstr/>
  </property>
  <property fmtid="{D5CDD505-2E9C-101B-9397-08002B2CF9AE}" pid="20" name="Wiki Page Categories">
    <vt:lpwstr/>
  </property>
</Properties>
</file>